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투자운용본부\3. 사업별자료\사회주택 토지지원 리츠\181012_사업자 공모지침서\"/>
    </mc:Choice>
  </mc:AlternateContent>
  <bookViews>
    <workbookView xWindow="0" yWindow="0" windowWidth="16164" windowHeight="5352" tabRatio="900"/>
  </bookViews>
  <sheets>
    <sheet name="&lt;서식1&gt;사업개요" sheetId="1" r:id="rId1"/>
    <sheet name="&lt;서식2&gt;면적표" sheetId="6" r:id="rId2"/>
    <sheet name="&lt;서식3&gt;초기사업비 산정" sheetId="5" r:id="rId3"/>
    <sheet name="&lt;서식4&gt;임대료 산출" sheetId="7" r:id="rId4"/>
    <sheet name="&lt;서식5&gt;재원조달계획" sheetId="8" r:id="rId5"/>
    <sheet name="&lt;서식6&gt;현금유입" sheetId="3" r:id="rId6"/>
    <sheet name="&lt;서식7&gt;현금유출" sheetId="9" r:id="rId7"/>
    <sheet name="&lt;서식8&gt;현금흐름분석" sheetId="10" r:id="rId8"/>
    <sheet name="지가변동률, 세금 등 산출근거" sheetId="4" state="hidden" r:id="rId9"/>
  </sheets>
  <definedNames>
    <definedName name="_xlnm._FilterDatabase" localSheetId="5" hidden="1">'&lt;서식6&gt;현금유입'!$B$5:$AF$163</definedName>
    <definedName name="_xlnm.Print_Area" localSheetId="0">'&lt;서식1&gt;사업개요'!$A$1:$N$27</definedName>
    <definedName name="_xlnm.Print_Area" localSheetId="1">'&lt;서식2&gt;면적표'!$A$2:$P$42</definedName>
    <definedName name="_xlnm.Print_Area" localSheetId="2">'&lt;서식3&gt;초기사업비 산정'!$A$1:$J$74</definedName>
    <definedName name="_xlnm.Print_Area" localSheetId="3">'&lt;서식4&gt;임대료 산출'!$A$1:$R$23</definedName>
    <definedName name="_xlnm.Print_Area" localSheetId="4">'&lt;서식5&gt;재원조달계획'!$A$1:$K$27</definedName>
    <definedName name="_xlnm.Print_Area" localSheetId="5">'&lt;서식6&gt;현금유입'!$A$2:$P$49</definedName>
    <definedName name="_xlnm.Print_Area" localSheetId="6">'&lt;서식7&gt;현금유출'!$A$2:$Q$50</definedName>
    <definedName name="_xlnm.Print_Area" localSheetId="7">'&lt;서식8&gt;현금흐름분석'!$A$2:$N$52</definedName>
  </definedNames>
  <calcPr calcId="162913"/>
</workbook>
</file>

<file path=xl/calcChain.xml><?xml version="1.0" encoding="utf-8"?>
<calcChain xmlns="http://schemas.openxmlformats.org/spreadsheetml/2006/main">
  <c r="F66" i="5" l="1"/>
  <c r="L63" i="5"/>
  <c r="AA6" i="9"/>
  <c r="L7" i="9"/>
  <c r="J6" i="9"/>
  <c r="H9" i="9"/>
  <c r="N8" i="9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7" i="9"/>
  <c r="N47" i="9" s="1"/>
  <c r="J11" i="8"/>
  <c r="J7" i="8"/>
  <c r="J6" i="8"/>
  <c r="I5" i="8"/>
  <c r="D7" i="8"/>
  <c r="E11" i="8"/>
  <c r="F11" i="8"/>
  <c r="H71" i="5"/>
  <c r="H70" i="5"/>
  <c r="H69" i="5"/>
  <c r="G71" i="5"/>
  <c r="F47" i="5"/>
  <c r="G47" i="5" s="1"/>
  <c r="G48" i="5" s="1"/>
  <c r="G66" i="5" l="1"/>
  <c r="G68" i="5" l="1"/>
  <c r="M7" i="9" l="1"/>
  <c r="H68" i="5"/>
  <c r="H67" i="5"/>
  <c r="M6" i="9"/>
  <c r="M8" i="9"/>
  <c r="H65" i="5"/>
  <c r="H66" i="5"/>
  <c r="M12" i="1" l="1"/>
  <c r="O6" i="3" l="1"/>
  <c r="G9" i="6" l="1"/>
  <c r="I12" i="8"/>
  <c r="I8" i="8"/>
  <c r="I7" i="8"/>
  <c r="Q6" i="3" l="1"/>
  <c r="G25" i="5"/>
  <c r="E37" i="5"/>
  <c r="E36" i="5"/>
  <c r="G34" i="5"/>
  <c r="O13" i="7" l="1"/>
  <c r="O14" i="7" s="1"/>
  <c r="O15" i="7" s="1"/>
  <c r="O16" i="7" s="1"/>
  <c r="O17" i="7" s="1"/>
  <c r="M30" i="6"/>
  <c r="K11" i="7"/>
  <c r="J11" i="7"/>
  <c r="E21" i="7"/>
  <c r="E11" i="7"/>
  <c r="O34" i="6"/>
  <c r="N31" i="6"/>
  <c r="N29" i="6"/>
  <c r="N28" i="6"/>
  <c r="E22" i="7" l="1"/>
  <c r="N30" i="6"/>
  <c r="D15" i="1" l="1"/>
  <c r="I33" i="6"/>
  <c r="L31" i="6"/>
  <c r="L30" i="6"/>
  <c r="L29" i="6"/>
  <c r="L28" i="6"/>
  <c r="E34" i="6" l="1"/>
  <c r="E36" i="6" s="1"/>
  <c r="J29" i="6"/>
  <c r="H33" i="6"/>
  <c r="L17" i="6"/>
  <c r="L16" i="6"/>
  <c r="L11" i="6"/>
  <c r="L10" i="6"/>
  <c r="L8" i="6"/>
  <c r="L7" i="6"/>
  <c r="L6" i="6"/>
  <c r="F18" i="6"/>
  <c r="F17" i="6"/>
  <c r="F16" i="6"/>
  <c r="F14" i="6"/>
  <c r="F13" i="6"/>
  <c r="F12" i="6"/>
  <c r="F11" i="6"/>
  <c r="F10" i="6"/>
  <c r="F7" i="6"/>
  <c r="F6" i="6"/>
  <c r="F33" i="6"/>
  <c r="G31" i="6"/>
  <c r="I31" i="6" s="1"/>
  <c r="H31" i="6" s="1"/>
  <c r="G29" i="6"/>
  <c r="G28" i="6"/>
  <c r="L14" i="6"/>
  <c r="L13" i="6"/>
  <c r="M9" i="6"/>
  <c r="D19" i="6"/>
  <c r="D9" i="6"/>
  <c r="F9" i="6"/>
  <c r="Z6" i="9"/>
  <c r="V7" i="9"/>
  <c r="S7" i="9"/>
  <c r="S12" i="9" s="1"/>
  <c r="T7" i="9"/>
  <c r="F6" i="8"/>
  <c r="M8" i="7"/>
  <c r="G33" i="5"/>
  <c r="G30" i="5"/>
  <c r="G29" i="5"/>
  <c r="G21" i="5"/>
  <c r="G19" i="5"/>
  <c r="F9" i="5"/>
  <c r="G9" i="5" s="1"/>
  <c r="U7" i="8" l="1"/>
  <c r="U6" i="8"/>
  <c r="F8" i="5"/>
  <c r="G8" i="5" s="1"/>
  <c r="S21" i="9"/>
  <c r="S18" i="9"/>
  <c r="S15" i="9"/>
  <c r="S11" i="9"/>
  <c r="S8" i="9"/>
  <c r="S19" i="9"/>
  <c r="S17" i="9"/>
  <c r="S14" i="9"/>
  <c r="S10" i="9"/>
  <c r="S13" i="9"/>
  <c r="S9" i="9"/>
  <c r="S20" i="9"/>
  <c r="S16" i="9"/>
  <c r="D20" i="6"/>
  <c r="F31" i="6"/>
  <c r="F29" i="6"/>
  <c r="I29" i="6"/>
  <c r="H29" i="6" s="1"/>
  <c r="F28" i="6"/>
  <c r="I28" i="6"/>
  <c r="F15" i="6"/>
  <c r="I32" i="6"/>
  <c r="H32" i="6" s="1"/>
  <c r="L9" i="6"/>
  <c r="L12" i="6"/>
  <c r="L18" i="6"/>
  <c r="M33" i="6"/>
  <c r="L15" i="6"/>
  <c r="M32" i="6"/>
  <c r="N32" i="6" s="1"/>
  <c r="M19" i="6"/>
  <c r="G19" i="6"/>
  <c r="F8" i="6"/>
  <c r="G30" i="6"/>
  <c r="I30" i="6" s="1"/>
  <c r="H30" i="6" s="1"/>
  <c r="G20" i="5"/>
  <c r="G24" i="5"/>
  <c r="F19" i="6" l="1"/>
  <c r="G20" i="6"/>
  <c r="L33" i="6"/>
  <c r="N33" i="6"/>
  <c r="N34" i="6" s="1"/>
  <c r="I34" i="6"/>
  <c r="I36" i="6" s="1"/>
  <c r="H36" i="6" s="1"/>
  <c r="H28" i="6"/>
  <c r="M34" i="6"/>
  <c r="L32" i="6"/>
  <c r="F32" i="6"/>
  <c r="F20" i="6"/>
  <c r="G34" i="6"/>
  <c r="F30" i="6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F34" i="6" l="1"/>
  <c r="G36" i="6"/>
  <c r="F36" i="6" s="1"/>
  <c r="L34" i="6"/>
  <c r="M36" i="6"/>
  <c r="L36" i="6" s="1"/>
  <c r="H34" i="6"/>
  <c r="I6" i="6"/>
  <c r="I8" i="6"/>
  <c r="H8" i="6" s="1"/>
  <c r="I7" i="6"/>
  <c r="H7" i="6" s="1"/>
  <c r="K34" i="6"/>
  <c r="I18" i="6"/>
  <c r="K18" i="6" s="1"/>
  <c r="I14" i="6"/>
  <c r="K14" i="6" s="1"/>
  <c r="I10" i="6"/>
  <c r="K10" i="6" s="1"/>
  <c r="I11" i="6"/>
  <c r="K11" i="6" s="1"/>
  <c r="I16" i="6"/>
  <c r="K16" i="6" s="1"/>
  <c r="I12" i="6"/>
  <c r="K12" i="6" s="1"/>
  <c r="I17" i="6"/>
  <c r="K17" i="6" s="1"/>
  <c r="I13" i="6"/>
  <c r="K13" i="6" s="1"/>
  <c r="I15" i="6"/>
  <c r="K15" i="6" s="1"/>
  <c r="G51" i="5"/>
  <c r="G49" i="5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6" i="9"/>
  <c r="F6" i="9" s="1"/>
  <c r="H7" i="9"/>
  <c r="H45" i="9"/>
  <c r="H43" i="9"/>
  <c r="H41" i="9"/>
  <c r="H39" i="9"/>
  <c r="H37" i="9"/>
  <c r="H35" i="9"/>
  <c r="H33" i="9"/>
  <c r="H31" i="9"/>
  <c r="H29" i="9"/>
  <c r="H27" i="9"/>
  <c r="H17" i="9"/>
  <c r="H25" i="9"/>
  <c r="H23" i="9"/>
  <c r="H21" i="9"/>
  <c r="H19" i="9"/>
  <c r="H15" i="9"/>
  <c r="H13" i="9"/>
  <c r="H11" i="9"/>
  <c r="F50" i="5" l="1"/>
  <c r="J34" i="6"/>
  <c r="D14" i="1"/>
  <c r="H15" i="6"/>
  <c r="H18" i="6"/>
  <c r="H16" i="6"/>
  <c r="H12" i="6"/>
  <c r="H14" i="6"/>
  <c r="H17" i="6"/>
  <c r="H13" i="6"/>
  <c r="H11" i="6"/>
  <c r="H6" i="6"/>
  <c r="K6" i="6"/>
  <c r="H10" i="6"/>
  <c r="I19" i="6"/>
  <c r="I9" i="6"/>
  <c r="H9" i="6" l="1"/>
  <c r="K35" i="6"/>
  <c r="M13" i="1"/>
  <c r="J35" i="6" l="1"/>
  <c r="K36" i="6"/>
  <c r="E6" i="8"/>
  <c r="I6" i="8" s="1"/>
  <c r="I16" i="8"/>
  <c r="I15" i="8"/>
  <c r="I14" i="8"/>
  <c r="I13" i="8"/>
  <c r="D6" i="8" l="1"/>
  <c r="J36" i="6"/>
  <c r="N36" i="6"/>
  <c r="G14" i="1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G6" i="9"/>
  <c r="G7" i="9" l="1"/>
  <c r="G8" i="9" s="1"/>
  <c r="L8" i="9" s="1"/>
  <c r="G9" i="9" l="1"/>
  <c r="G10" i="9" s="1"/>
  <c r="H8" i="9"/>
  <c r="L9" i="9" l="1"/>
  <c r="G11" i="9"/>
  <c r="G12" i="9" s="1"/>
  <c r="H10" i="9"/>
  <c r="L10" i="9"/>
  <c r="G13" i="9" l="1"/>
  <c r="G14" i="9" s="1"/>
  <c r="H12" i="9"/>
  <c r="L11" i="9"/>
  <c r="G15" i="9" l="1"/>
  <c r="G16" i="9" s="1"/>
  <c r="H14" i="9"/>
  <c r="L12" i="9"/>
  <c r="G17" i="9" l="1"/>
  <c r="G18" i="9" s="1"/>
  <c r="H16" i="9"/>
  <c r="L13" i="9"/>
  <c r="L14" i="9"/>
  <c r="G19" i="9" l="1"/>
  <c r="G20" i="9" s="1"/>
  <c r="H18" i="9"/>
  <c r="L15" i="9"/>
  <c r="G21" i="9" l="1"/>
  <c r="G22" i="9" s="1"/>
  <c r="H20" i="9"/>
  <c r="L16" i="9"/>
  <c r="G23" i="9" l="1"/>
  <c r="G24" i="9" s="1"/>
  <c r="H22" i="9"/>
  <c r="L17" i="9"/>
  <c r="G25" i="9" l="1"/>
  <c r="G26" i="9" s="1"/>
  <c r="H24" i="9"/>
  <c r="L18" i="9"/>
  <c r="G27" i="9" l="1"/>
  <c r="G28" i="9" s="1"/>
  <c r="H26" i="9"/>
  <c r="L19" i="9"/>
  <c r="G29" i="9" l="1"/>
  <c r="G30" i="9" s="1"/>
  <c r="H28" i="9"/>
  <c r="L20" i="9"/>
  <c r="G31" i="9" l="1"/>
  <c r="G32" i="9" s="1"/>
  <c r="H30" i="9"/>
  <c r="L21" i="9"/>
  <c r="G33" i="9" l="1"/>
  <c r="G34" i="9" s="1"/>
  <c r="H32" i="9"/>
  <c r="L22" i="9"/>
  <c r="G35" i="9" l="1"/>
  <c r="G36" i="9" s="1"/>
  <c r="H34" i="9"/>
  <c r="L23" i="9"/>
  <c r="G37" i="9" l="1"/>
  <c r="G38" i="9" s="1"/>
  <c r="H36" i="9"/>
  <c r="L24" i="9"/>
  <c r="G39" i="9" l="1"/>
  <c r="G40" i="9" s="1"/>
  <c r="H38" i="9"/>
  <c r="L25" i="9"/>
  <c r="G41" i="9" l="1"/>
  <c r="G42" i="9" s="1"/>
  <c r="H40" i="9"/>
  <c r="L26" i="9"/>
  <c r="G43" i="9" l="1"/>
  <c r="G44" i="9" s="1"/>
  <c r="H42" i="9"/>
  <c r="L27" i="9"/>
  <c r="G45" i="9" l="1"/>
  <c r="G46" i="9" s="1"/>
  <c r="H46" i="9" s="1"/>
  <c r="H44" i="9"/>
  <c r="L28" i="9"/>
  <c r="L29" i="9" l="1"/>
  <c r="L30" i="9" l="1"/>
  <c r="L31" i="9" l="1"/>
  <c r="L32" i="9" l="1"/>
  <c r="L33" i="9" l="1"/>
  <c r="L34" i="9" l="1"/>
  <c r="L35" i="9" l="1"/>
  <c r="L36" i="9" l="1"/>
  <c r="L37" i="9" l="1"/>
  <c r="L38" i="9" l="1"/>
  <c r="L39" i="9" l="1"/>
  <c r="L40" i="9" l="1"/>
  <c r="L41" i="9" l="1"/>
  <c r="L42" i="9" l="1"/>
  <c r="L43" i="9" l="1"/>
  <c r="L44" i="9" l="1"/>
  <c r="L45" i="9" l="1"/>
  <c r="G47" i="9" l="1"/>
  <c r="L46" i="9"/>
  <c r="L47" i="9" l="1"/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E43" i="5" l="1"/>
  <c r="J16" i="6"/>
  <c r="J15" i="6"/>
  <c r="J12" i="6"/>
  <c r="K8" i="6"/>
  <c r="J8" i="6" s="1"/>
  <c r="K7" i="6"/>
  <c r="J7" i="6" s="1"/>
  <c r="J6" i="6"/>
  <c r="G6" i="5"/>
  <c r="G7" i="5" l="1"/>
  <c r="G10" i="5" s="1"/>
  <c r="K19" i="6"/>
  <c r="L19" i="6"/>
  <c r="M20" i="6"/>
  <c r="L20" i="6" s="1"/>
  <c r="H19" i="6"/>
  <c r="I20" i="6"/>
  <c r="H20" i="6" s="1"/>
  <c r="O11" i="6"/>
  <c r="J11" i="6"/>
  <c r="O10" i="6"/>
  <c r="F12" i="7" s="1"/>
  <c r="J10" i="6"/>
  <c r="O14" i="6"/>
  <c r="J14" i="6"/>
  <c r="O18" i="6"/>
  <c r="J18" i="6"/>
  <c r="O13" i="6"/>
  <c r="J13" i="6"/>
  <c r="O17" i="6"/>
  <c r="J17" i="6"/>
  <c r="O15" i="6"/>
  <c r="O8" i="6"/>
  <c r="N8" i="6" s="1"/>
  <c r="O6" i="6"/>
  <c r="O7" i="6"/>
  <c r="N7" i="6" s="1"/>
  <c r="K9" i="6"/>
  <c r="G31" i="5"/>
  <c r="O16" i="6"/>
  <c r="F18" i="7" s="1"/>
  <c r="H18" i="7" s="1"/>
  <c r="O12" i="6"/>
  <c r="H6" i="9"/>
  <c r="H47" i="9" s="1"/>
  <c r="M46" i="3" s="1"/>
  <c r="M47" i="3" s="1"/>
  <c r="F35" i="5" l="1"/>
  <c r="G35" i="5" s="1"/>
  <c r="N11" i="6"/>
  <c r="F13" i="7"/>
  <c r="H13" i="7" s="1"/>
  <c r="I13" i="7" s="1"/>
  <c r="N12" i="6"/>
  <c r="F14" i="7"/>
  <c r="H14" i="7" s="1"/>
  <c r="N14" i="6"/>
  <c r="F16" i="7"/>
  <c r="H16" i="7" s="1"/>
  <c r="N15" i="6"/>
  <c r="F17" i="7"/>
  <c r="H17" i="7" s="1"/>
  <c r="N13" i="6"/>
  <c r="F15" i="7"/>
  <c r="H15" i="7" s="1"/>
  <c r="N17" i="6"/>
  <c r="F19" i="7"/>
  <c r="H19" i="7" s="1"/>
  <c r="N18" i="6"/>
  <c r="F20" i="7"/>
  <c r="H20" i="7" s="1"/>
  <c r="H12" i="7"/>
  <c r="J19" i="6"/>
  <c r="N6" i="6"/>
  <c r="O9" i="6"/>
  <c r="N9" i="6" s="1"/>
  <c r="N10" i="6"/>
  <c r="O19" i="6"/>
  <c r="F10" i="7"/>
  <c r="J9" i="6"/>
  <c r="K20" i="6"/>
  <c r="J20" i="6" s="1"/>
  <c r="F9" i="7"/>
  <c r="G9" i="7" s="1"/>
  <c r="I18" i="7"/>
  <c r="N16" i="6"/>
  <c r="F8" i="7"/>
  <c r="M14" i="1"/>
  <c r="G12" i="7"/>
  <c r="G13" i="7"/>
  <c r="I16" i="7" l="1"/>
  <c r="J16" i="7" s="1"/>
  <c r="K16" i="7" s="1"/>
  <c r="M16" i="7" s="1"/>
  <c r="I19" i="7"/>
  <c r="I14" i="7"/>
  <c r="J14" i="7" s="1"/>
  <c r="K14" i="7" s="1"/>
  <c r="I20" i="7"/>
  <c r="J13" i="7"/>
  <c r="K13" i="7" s="1"/>
  <c r="J18" i="7"/>
  <c r="K18" i="7" s="1"/>
  <c r="L18" i="7" s="1"/>
  <c r="I15" i="7"/>
  <c r="F21" i="7"/>
  <c r="H21" i="7"/>
  <c r="H22" i="7" s="1"/>
  <c r="I12" i="7"/>
  <c r="G8" i="7"/>
  <c r="F11" i="7"/>
  <c r="G20" i="7"/>
  <c r="G17" i="7"/>
  <c r="L8" i="7"/>
  <c r="G19" i="7"/>
  <c r="I17" i="7"/>
  <c r="G10" i="7"/>
  <c r="G15" i="7"/>
  <c r="G16" i="7"/>
  <c r="N19" i="6"/>
  <c r="O20" i="6"/>
  <c r="N20" i="6" s="1"/>
  <c r="G18" i="7"/>
  <c r="G14" i="7"/>
  <c r="D11" i="1"/>
  <c r="J19" i="7" l="1"/>
  <c r="K19" i="7" s="1"/>
  <c r="M19" i="7" s="1"/>
  <c r="J20" i="7"/>
  <c r="K20" i="7" s="1"/>
  <c r="L20" i="7" s="1"/>
  <c r="F22" i="7"/>
  <c r="L11" i="7"/>
  <c r="J15" i="7"/>
  <c r="K15" i="7" s="1"/>
  <c r="J17" i="7"/>
  <c r="K17" i="7" s="1"/>
  <c r="L17" i="7" s="1"/>
  <c r="J12" i="7"/>
  <c r="K12" i="7" s="1"/>
  <c r="G21" i="7"/>
  <c r="I21" i="7"/>
  <c r="I22" i="7" s="1"/>
  <c r="G11" i="7"/>
  <c r="L10" i="7"/>
  <c r="M10" i="7"/>
  <c r="L16" i="7"/>
  <c r="M18" i="7"/>
  <c r="M13" i="7"/>
  <c r="G13" i="1"/>
  <c r="P6" i="1"/>
  <c r="P8" i="1"/>
  <c r="D12" i="1"/>
  <c r="K21" i="7" l="1"/>
  <c r="L19" i="7"/>
  <c r="M12" i="7"/>
  <c r="L12" i="7"/>
  <c r="L15" i="7"/>
  <c r="M15" i="7"/>
  <c r="J21" i="7"/>
  <c r="J22" i="7" s="1"/>
  <c r="G22" i="7"/>
  <c r="M17" i="7"/>
  <c r="L13" i="7"/>
  <c r="M20" i="7"/>
  <c r="M9" i="7"/>
  <c r="M11" i="7" s="1"/>
  <c r="L9" i="7"/>
  <c r="K22" i="7" l="1"/>
  <c r="L22" i="7" s="1"/>
  <c r="L21" i="7"/>
  <c r="E4" i="7" s="1"/>
  <c r="M21" i="7"/>
  <c r="M22" i="7" s="1"/>
  <c r="N7" i="3" s="1"/>
  <c r="K7" i="3"/>
  <c r="L7" i="3" s="1"/>
  <c r="F63" i="5"/>
  <c r="G63" i="5" s="1"/>
  <c r="M14" i="7"/>
  <c r="L14" i="7"/>
  <c r="N8" i="3" l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E44" i="5" l="1"/>
  <c r="F44" i="5" s="1"/>
  <c r="E28" i="5" s="1"/>
  <c r="E45" i="5" l="1"/>
  <c r="F45" i="5" s="1"/>
  <c r="G15" i="1" l="1"/>
  <c r="L6" i="3" l="1"/>
  <c r="C6" i="10" s="1"/>
  <c r="K8" i="3"/>
  <c r="O6" i="10" l="1"/>
  <c r="K9" i="3"/>
  <c r="L8" i="3"/>
  <c r="L9" i="3" l="1"/>
  <c r="K10" i="3"/>
  <c r="G50" i="5" l="1"/>
  <c r="L10" i="3"/>
  <c r="K11" i="3"/>
  <c r="G52" i="5" l="1"/>
  <c r="L11" i="3"/>
  <c r="K12" i="3"/>
  <c r="H52" i="5" l="1"/>
  <c r="H49" i="5"/>
  <c r="H51" i="5"/>
  <c r="H50" i="5"/>
  <c r="I10" i="8"/>
  <c r="I11" i="8"/>
  <c r="L12" i="3"/>
  <c r="K13" i="3"/>
  <c r="I6" i="3" l="1"/>
  <c r="AB3" i="9"/>
  <c r="F6" i="3"/>
  <c r="H6" i="3"/>
  <c r="AD3" i="9"/>
  <c r="E6" i="3"/>
  <c r="AA3" i="9"/>
  <c r="T11" i="9"/>
  <c r="AB6" i="9"/>
  <c r="X6" i="9"/>
  <c r="V8" i="9"/>
  <c r="AD6" i="9"/>
  <c r="W6" i="9"/>
  <c r="L13" i="3"/>
  <c r="K14" i="3"/>
  <c r="V12" i="9" l="1"/>
  <c r="V10" i="9"/>
  <c r="T9" i="9"/>
  <c r="T8" i="9"/>
  <c r="T12" i="9"/>
  <c r="T13" i="9"/>
  <c r="T10" i="9"/>
  <c r="AB7" i="9"/>
  <c r="X8" i="9" s="1"/>
  <c r="X7" i="9"/>
  <c r="AA7" i="9"/>
  <c r="W7" i="9"/>
  <c r="V11" i="9"/>
  <c r="AD7" i="9"/>
  <c r="Z8" i="9" s="1"/>
  <c r="Z7" i="9"/>
  <c r="V9" i="9"/>
  <c r="L14" i="3"/>
  <c r="K15" i="3"/>
  <c r="T47" i="9" l="1"/>
  <c r="S47" i="9"/>
  <c r="AB8" i="9"/>
  <c r="X9" i="9" s="1"/>
  <c r="AD8" i="9"/>
  <c r="Z9" i="9" s="1"/>
  <c r="W8" i="9"/>
  <c r="AA8" i="9"/>
  <c r="W9" i="9" s="1"/>
  <c r="L15" i="3"/>
  <c r="K16" i="3"/>
  <c r="AB9" i="9" l="1"/>
  <c r="AA9" i="9"/>
  <c r="W10" i="9" s="1"/>
  <c r="AD9" i="9"/>
  <c r="Z10" i="9" s="1"/>
  <c r="L16" i="3"/>
  <c r="K17" i="3"/>
  <c r="AB10" i="9" l="1"/>
  <c r="X11" i="9" s="1"/>
  <c r="X10" i="9"/>
  <c r="AD10" i="9"/>
  <c r="Z11" i="9" s="1"/>
  <c r="AA10" i="9"/>
  <c r="W11" i="9" s="1"/>
  <c r="L17" i="3"/>
  <c r="K18" i="3"/>
  <c r="K19" i="3" s="1"/>
  <c r="K20" i="3" s="1"/>
  <c r="AB11" i="9" l="1"/>
  <c r="AA11" i="9"/>
  <c r="AD11" i="9"/>
  <c r="L18" i="3"/>
  <c r="AA12" i="9" l="1"/>
  <c r="W12" i="9"/>
  <c r="X12" i="9"/>
  <c r="AB12" i="9"/>
  <c r="AD12" i="9"/>
  <c r="Z12" i="9"/>
  <c r="L19" i="3"/>
  <c r="AA13" i="9" l="1"/>
  <c r="W13" i="9"/>
  <c r="AB13" i="9"/>
  <c r="X13" i="9"/>
  <c r="AD13" i="9"/>
  <c r="Z13" i="9"/>
  <c r="L20" i="3"/>
  <c r="K21" i="3"/>
  <c r="W14" i="9" l="1"/>
  <c r="AA14" i="9"/>
  <c r="X14" i="9"/>
  <c r="AB14" i="9"/>
  <c r="Z14" i="9"/>
  <c r="L21" i="3"/>
  <c r="K22" i="3"/>
  <c r="W15" i="9" l="1"/>
  <c r="AA15" i="9"/>
  <c r="X15" i="9"/>
  <c r="AB15" i="9"/>
  <c r="L22" i="3"/>
  <c r="K23" i="3"/>
  <c r="W16" i="9" l="1"/>
  <c r="AA16" i="9"/>
  <c r="X16" i="9"/>
  <c r="AB16" i="9"/>
  <c r="L23" i="3"/>
  <c r="K24" i="3"/>
  <c r="AA17" i="9" l="1"/>
  <c r="W17" i="9"/>
  <c r="X17" i="9"/>
  <c r="AB17" i="9"/>
  <c r="L24" i="3"/>
  <c r="K25" i="3"/>
  <c r="W18" i="9" l="1"/>
  <c r="AA18" i="9"/>
  <c r="X18" i="9"/>
  <c r="AB18" i="9"/>
  <c r="L25" i="3"/>
  <c r="K26" i="3"/>
  <c r="W19" i="9" l="1"/>
  <c r="AA19" i="9"/>
  <c r="X19" i="9"/>
  <c r="AB19" i="9"/>
  <c r="L26" i="3"/>
  <c r="K27" i="3"/>
  <c r="W20" i="9" l="1"/>
  <c r="AA20" i="9"/>
  <c r="X20" i="9"/>
  <c r="AB20" i="9"/>
  <c r="L27" i="3"/>
  <c r="K28" i="3"/>
  <c r="W21" i="9" l="1"/>
  <c r="AA21" i="9"/>
  <c r="X21" i="9"/>
  <c r="AB21" i="9"/>
  <c r="L28" i="3"/>
  <c r="K29" i="3"/>
  <c r="AA22" i="9" l="1"/>
  <c r="W22" i="9"/>
  <c r="X22" i="9"/>
  <c r="AB22" i="9"/>
  <c r="L29" i="3"/>
  <c r="K30" i="3"/>
  <c r="W23" i="9" l="1"/>
  <c r="AA23" i="9"/>
  <c r="X23" i="9"/>
  <c r="AB23" i="9"/>
  <c r="L30" i="3"/>
  <c r="K31" i="3"/>
  <c r="W24" i="9" l="1"/>
  <c r="AA24" i="9"/>
  <c r="X24" i="9"/>
  <c r="AB24" i="9"/>
  <c r="L31" i="3"/>
  <c r="K32" i="3"/>
  <c r="W25" i="9" l="1"/>
  <c r="AA25" i="9"/>
  <c r="X25" i="9"/>
  <c r="AB25" i="9"/>
  <c r="L32" i="3"/>
  <c r="K33" i="3"/>
  <c r="W26" i="9" l="1"/>
  <c r="AA26" i="9"/>
  <c r="X26" i="9"/>
  <c r="AB26" i="9"/>
  <c r="L33" i="3"/>
  <c r="K34" i="3"/>
  <c r="W27" i="9" l="1"/>
  <c r="AA27" i="9"/>
  <c r="AB27" i="9"/>
  <c r="X27" i="9"/>
  <c r="L34" i="3"/>
  <c r="K35" i="3"/>
  <c r="W28" i="9" l="1"/>
  <c r="AA28" i="9"/>
  <c r="X28" i="9"/>
  <c r="AB28" i="9"/>
  <c r="L35" i="3"/>
  <c r="K36" i="3"/>
  <c r="W29" i="9" l="1"/>
  <c r="AA29" i="9"/>
  <c r="X29" i="9"/>
  <c r="AB29" i="9"/>
  <c r="L36" i="3"/>
  <c r="K37" i="3"/>
  <c r="W30" i="9" l="1"/>
  <c r="AA30" i="9"/>
  <c r="AB30" i="9"/>
  <c r="X30" i="9"/>
  <c r="L37" i="3"/>
  <c r="K38" i="3"/>
  <c r="W31" i="9" l="1"/>
  <c r="AA31" i="9"/>
  <c r="AB31" i="9"/>
  <c r="X31" i="9"/>
  <c r="L38" i="3"/>
  <c r="K39" i="3"/>
  <c r="W32" i="9" l="1"/>
  <c r="AA32" i="9"/>
  <c r="AB32" i="9"/>
  <c r="X32" i="9"/>
  <c r="L39" i="3"/>
  <c r="K40" i="3"/>
  <c r="W33" i="9" l="1"/>
  <c r="AA33" i="9"/>
  <c r="AB33" i="9"/>
  <c r="X33" i="9"/>
  <c r="L40" i="3"/>
  <c r="K41" i="3"/>
  <c r="AA34" i="9" l="1"/>
  <c r="W34" i="9"/>
  <c r="AB34" i="9"/>
  <c r="X34" i="9"/>
  <c r="K42" i="3"/>
  <c r="L41" i="3"/>
  <c r="W35" i="9" l="1"/>
  <c r="AA35" i="9"/>
  <c r="X35" i="9"/>
  <c r="AB35" i="9"/>
  <c r="L42" i="3"/>
  <c r="K43" i="3"/>
  <c r="W36" i="9" l="1"/>
  <c r="AA36" i="9"/>
  <c r="X36" i="9"/>
  <c r="AB36" i="9"/>
  <c r="L43" i="3"/>
  <c r="K44" i="3"/>
  <c r="W37" i="9" l="1"/>
  <c r="AA37" i="9"/>
  <c r="X37" i="9"/>
  <c r="AB37" i="9"/>
  <c r="L44" i="3"/>
  <c r="K45" i="3"/>
  <c r="W38" i="9" l="1"/>
  <c r="AA38" i="9"/>
  <c r="X38" i="9"/>
  <c r="AB38" i="9"/>
  <c r="K46" i="3"/>
  <c r="L45" i="3"/>
  <c r="W39" i="9" l="1"/>
  <c r="AA39" i="9"/>
  <c r="X39" i="9"/>
  <c r="AB39" i="9"/>
  <c r="N47" i="3"/>
  <c r="I46" i="9"/>
  <c r="W40" i="9" l="1"/>
  <c r="AA40" i="9"/>
  <c r="X40" i="9"/>
  <c r="AB40" i="9"/>
  <c r="I47" i="9"/>
  <c r="L47" i="3"/>
  <c r="W41" i="9" l="1"/>
  <c r="AA41" i="9"/>
  <c r="X41" i="9"/>
  <c r="AB41" i="9"/>
  <c r="AB111" i="3"/>
  <c r="W42" i="9" l="1"/>
  <c r="AA42" i="9"/>
  <c r="X42" i="9"/>
  <c r="AB42" i="9"/>
  <c r="W43" i="9" l="1"/>
  <c r="AA43" i="9"/>
  <c r="X43" i="9"/>
  <c r="AB43" i="9"/>
  <c r="I47" i="3"/>
  <c r="W44" i="9" l="1"/>
  <c r="AA44" i="9"/>
  <c r="X44" i="9"/>
  <c r="AB44" i="9"/>
  <c r="H47" i="3"/>
  <c r="E47" i="3"/>
  <c r="F47" i="3"/>
  <c r="W45" i="9" l="1"/>
  <c r="AA45" i="9"/>
  <c r="X45" i="9"/>
  <c r="AB45" i="9"/>
  <c r="W46" i="9" l="1"/>
  <c r="AA46" i="9"/>
  <c r="AB46" i="9"/>
  <c r="X46" i="9"/>
  <c r="X47" i="9" s="1"/>
  <c r="W47" i="9" l="1"/>
  <c r="V16" i="9" l="1"/>
  <c r="V21" i="9"/>
  <c r="V17" i="9"/>
  <c r="V15" i="9"/>
  <c r="V18" i="9"/>
  <c r="V19" i="9"/>
  <c r="V20" i="9"/>
  <c r="V22" i="9"/>
  <c r="V14" i="9"/>
  <c r="U8" i="9"/>
  <c r="E8" i="9" s="1"/>
  <c r="F8" i="9" s="1"/>
  <c r="U11" i="9"/>
  <c r="E11" i="9" s="1"/>
  <c r="F11" i="9" s="1"/>
  <c r="U14" i="9"/>
  <c r="E14" i="9" s="1"/>
  <c r="F14" i="9" s="1"/>
  <c r="U16" i="9"/>
  <c r="U18" i="9"/>
  <c r="U9" i="9"/>
  <c r="E9" i="9" s="1"/>
  <c r="F9" i="9" s="1"/>
  <c r="AC6" i="9"/>
  <c r="L6" i="10" s="1"/>
  <c r="U10" i="9"/>
  <c r="E10" i="9" s="1"/>
  <c r="F10" i="9" s="1"/>
  <c r="U13" i="9"/>
  <c r="E13" i="9" s="1"/>
  <c r="F13" i="9" s="1"/>
  <c r="U12" i="9"/>
  <c r="E12" i="9" s="1"/>
  <c r="F12" i="9" s="1"/>
  <c r="U15" i="9"/>
  <c r="E15" i="9" s="1"/>
  <c r="F15" i="9" s="1"/>
  <c r="U17" i="9"/>
  <c r="U20" i="9"/>
  <c r="E20" i="9" s="1"/>
  <c r="F20" i="9" s="1"/>
  <c r="U22" i="9"/>
  <c r="E22" i="9" s="1"/>
  <c r="F22" i="9" s="1"/>
  <c r="U19" i="9"/>
  <c r="E19" i="9" s="1"/>
  <c r="F19" i="9" s="1"/>
  <c r="U21" i="9"/>
  <c r="E21" i="9" s="1"/>
  <c r="F21" i="9" s="1"/>
  <c r="Y6" i="9"/>
  <c r="O6" i="9" s="1"/>
  <c r="U7" i="9"/>
  <c r="E7" i="9" s="1"/>
  <c r="I9" i="8"/>
  <c r="G6" i="3" s="1"/>
  <c r="G47" i="3" s="1"/>
  <c r="E17" i="9" l="1"/>
  <c r="F17" i="9" s="1"/>
  <c r="E16" i="9"/>
  <c r="F16" i="9" s="1"/>
  <c r="V47" i="9"/>
  <c r="AD14" i="9"/>
  <c r="O7" i="3"/>
  <c r="D7" i="3" s="1"/>
  <c r="E18" i="9"/>
  <c r="F18" i="9" s="1"/>
  <c r="J8" i="8"/>
  <c r="J9" i="8"/>
  <c r="F7" i="9"/>
  <c r="AE6" i="9"/>
  <c r="AC3" i="9"/>
  <c r="J6" i="3"/>
  <c r="D6" i="3" s="1"/>
  <c r="I17" i="8"/>
  <c r="M19" i="1" s="1"/>
  <c r="J10" i="8"/>
  <c r="Y7" i="9"/>
  <c r="U47" i="9"/>
  <c r="AC7" i="9"/>
  <c r="Y8" i="9" s="1"/>
  <c r="E47" i="9" l="1"/>
  <c r="J17" i="8"/>
  <c r="AD15" i="9"/>
  <c r="Z15" i="9"/>
  <c r="J47" i="3"/>
  <c r="C7" i="10"/>
  <c r="O7" i="10" s="1"/>
  <c r="H7" i="10"/>
  <c r="F47" i="9"/>
  <c r="M18" i="1"/>
  <c r="L7" i="10"/>
  <c r="AC8" i="9"/>
  <c r="Y9" i="9" s="1"/>
  <c r="O7" i="9"/>
  <c r="AE7" i="9"/>
  <c r="O8" i="3" l="1"/>
  <c r="D8" i="3" s="1"/>
  <c r="H8" i="10" s="1"/>
  <c r="AD16" i="9"/>
  <c r="Z16" i="9"/>
  <c r="O9" i="3"/>
  <c r="D9" i="3" s="1"/>
  <c r="L8" i="10"/>
  <c r="AC9" i="9"/>
  <c r="Y10" i="9" s="1"/>
  <c r="H6" i="10"/>
  <c r="C8" i="10" l="1"/>
  <c r="O8" i="10" s="1"/>
  <c r="AD17" i="9"/>
  <c r="Z17" i="9"/>
  <c r="O11" i="3"/>
  <c r="D11" i="3" s="1"/>
  <c r="AE8" i="9"/>
  <c r="O8" i="9"/>
  <c r="C9" i="10"/>
  <c r="O9" i="10" s="1"/>
  <c r="L9" i="10"/>
  <c r="AC10" i="9"/>
  <c r="Y11" i="9" s="1"/>
  <c r="O12" i="3" l="1"/>
  <c r="D12" i="3" s="1"/>
  <c r="AD18" i="9"/>
  <c r="Z18" i="9"/>
  <c r="AC11" i="9"/>
  <c r="L10" i="10"/>
  <c r="H9" i="10"/>
  <c r="AE9" i="9"/>
  <c r="O9" i="9"/>
  <c r="O10" i="3" l="1"/>
  <c r="D10" i="3" s="1"/>
  <c r="H10" i="10" s="1"/>
  <c r="O13" i="3"/>
  <c r="D13" i="3" s="1"/>
  <c r="AD19" i="9"/>
  <c r="Z19" i="9"/>
  <c r="Y12" i="9"/>
  <c r="AC12" i="9"/>
  <c r="H12" i="10"/>
  <c r="C12" i="10"/>
  <c r="O12" i="10" s="1"/>
  <c r="L11" i="10"/>
  <c r="C11" i="10"/>
  <c r="O11" i="10" s="1"/>
  <c r="AE10" i="9"/>
  <c r="O10" i="9"/>
  <c r="C10" i="10" l="1"/>
  <c r="O10" i="10" s="1"/>
  <c r="Z20" i="9"/>
  <c r="AD20" i="9"/>
  <c r="AC13" i="9"/>
  <c r="Y13" i="9"/>
  <c r="H11" i="10"/>
  <c r="C13" i="10"/>
  <c r="O13" i="10" s="1"/>
  <c r="H13" i="10"/>
  <c r="L12" i="10"/>
  <c r="AE11" i="9"/>
  <c r="O11" i="9"/>
  <c r="O14" i="3" l="1"/>
  <c r="D14" i="3" s="1"/>
  <c r="AD21" i="9"/>
  <c r="Z21" i="9"/>
  <c r="Y14" i="9"/>
  <c r="AC14" i="9"/>
  <c r="L13" i="10"/>
  <c r="O13" i="9"/>
  <c r="AE13" i="9"/>
  <c r="O12" i="9"/>
  <c r="AE12" i="9"/>
  <c r="O15" i="3"/>
  <c r="D15" i="3" s="1"/>
  <c r="O14" i="9" l="1"/>
  <c r="AE14" i="9"/>
  <c r="AD22" i="9"/>
  <c r="Z22" i="9"/>
  <c r="Y15" i="9"/>
  <c r="AC15" i="9"/>
  <c r="L14" i="10"/>
  <c r="H15" i="10"/>
  <c r="C15" i="10"/>
  <c r="O15" i="10" s="1"/>
  <c r="C14" i="10"/>
  <c r="O14" i="10" s="1"/>
  <c r="O16" i="3"/>
  <c r="D16" i="3" s="1"/>
  <c r="O15" i="9" l="1"/>
  <c r="AE15" i="9"/>
  <c r="Y16" i="9"/>
  <c r="AC16" i="9"/>
  <c r="L15" i="10"/>
  <c r="AD23" i="9"/>
  <c r="Z23" i="9"/>
  <c r="O17" i="3"/>
  <c r="D17" i="3" s="1"/>
  <c r="H14" i="10"/>
  <c r="C16" i="10"/>
  <c r="O16" i="10" s="1"/>
  <c r="H16" i="10"/>
  <c r="AE16" i="9" l="1"/>
  <c r="O16" i="9"/>
  <c r="Y17" i="9"/>
  <c r="AC17" i="9"/>
  <c r="L16" i="10"/>
  <c r="AD24" i="9"/>
  <c r="Z24" i="9"/>
  <c r="H17" i="10"/>
  <c r="C17" i="10"/>
  <c r="O17" i="10" s="1"/>
  <c r="O18" i="3"/>
  <c r="D18" i="3" s="1"/>
  <c r="AD25" i="9" l="1"/>
  <c r="Z25" i="9"/>
  <c r="O17" i="9"/>
  <c r="AE17" i="9"/>
  <c r="Y18" i="9"/>
  <c r="AC18" i="9"/>
  <c r="L17" i="10"/>
  <c r="O19" i="3"/>
  <c r="D19" i="3" s="1"/>
  <c r="H18" i="10"/>
  <c r="C18" i="10"/>
  <c r="O18" i="10" s="1"/>
  <c r="AD26" i="9" l="1"/>
  <c r="Z26" i="9"/>
  <c r="O18" i="9"/>
  <c r="AE18" i="9"/>
  <c r="Y19" i="9"/>
  <c r="AC19" i="9"/>
  <c r="L18" i="10"/>
  <c r="H19" i="10"/>
  <c r="C19" i="10"/>
  <c r="O19" i="10" s="1"/>
  <c r="O20" i="3"/>
  <c r="D20" i="3" s="1"/>
  <c r="O19" i="9" l="1"/>
  <c r="AE19" i="9"/>
  <c r="Y20" i="9"/>
  <c r="AC20" i="9"/>
  <c r="L19" i="10"/>
  <c r="AD27" i="9"/>
  <c r="Z27" i="9"/>
  <c r="H20" i="10"/>
  <c r="C20" i="10"/>
  <c r="O20" i="10" s="1"/>
  <c r="O21" i="3"/>
  <c r="D21" i="3" s="1"/>
  <c r="Y21" i="9" l="1"/>
  <c r="AC21" i="9"/>
  <c r="L20" i="10"/>
  <c r="AD28" i="9"/>
  <c r="Z28" i="9"/>
  <c r="O20" i="9"/>
  <c r="AE20" i="9"/>
  <c r="H21" i="10"/>
  <c r="C21" i="10"/>
  <c r="O21" i="10" s="1"/>
  <c r="O22" i="3"/>
  <c r="D22" i="3" s="1"/>
  <c r="O21" i="9" l="1"/>
  <c r="AE21" i="9"/>
  <c r="Y22" i="9"/>
  <c r="AC22" i="9"/>
  <c r="L21" i="10"/>
  <c r="AD29" i="9"/>
  <c r="Z29" i="9"/>
  <c r="H22" i="10"/>
  <c r="C22" i="10"/>
  <c r="O22" i="10" s="1"/>
  <c r="O23" i="3"/>
  <c r="D23" i="3" s="1"/>
  <c r="Y23" i="9" l="1"/>
  <c r="O23" i="9" s="1"/>
  <c r="AC23" i="9"/>
  <c r="L22" i="10"/>
  <c r="AD30" i="9"/>
  <c r="Z30" i="9"/>
  <c r="AE22" i="9"/>
  <c r="O22" i="9"/>
  <c r="O24" i="3"/>
  <c r="D24" i="3" s="1"/>
  <c r="C23" i="10"/>
  <c r="O23" i="10" s="1"/>
  <c r="H23" i="10"/>
  <c r="Y24" i="9" l="1"/>
  <c r="O24" i="9" s="1"/>
  <c r="AC24" i="9"/>
  <c r="L23" i="10"/>
  <c r="AD31" i="9"/>
  <c r="Z31" i="9"/>
  <c r="O25" i="3"/>
  <c r="D25" i="3" s="1"/>
  <c r="C24" i="10"/>
  <c r="O24" i="10" s="1"/>
  <c r="H24" i="10"/>
  <c r="Y25" i="9" l="1"/>
  <c r="O25" i="9" s="1"/>
  <c r="AC25" i="9"/>
  <c r="L24" i="10"/>
  <c r="AD32" i="9"/>
  <c r="Z32" i="9"/>
  <c r="O26" i="3"/>
  <c r="D26" i="3" s="1"/>
  <c r="C25" i="10"/>
  <c r="O25" i="10" s="1"/>
  <c r="H25" i="10"/>
  <c r="Y26" i="9" l="1"/>
  <c r="O26" i="9" s="1"/>
  <c r="AC26" i="9"/>
  <c r="L25" i="10"/>
  <c r="AD33" i="9"/>
  <c r="Z33" i="9"/>
  <c r="O27" i="3"/>
  <c r="D27" i="3" s="1"/>
  <c r="C26" i="10"/>
  <c r="O26" i="10" s="1"/>
  <c r="H26" i="10"/>
  <c r="Y27" i="9" l="1"/>
  <c r="O27" i="9" s="1"/>
  <c r="AC27" i="9"/>
  <c r="L26" i="10"/>
  <c r="AD34" i="9"/>
  <c r="Z34" i="9"/>
  <c r="O28" i="3"/>
  <c r="D28" i="3" s="1"/>
  <c r="H27" i="10"/>
  <c r="C27" i="10"/>
  <c r="O27" i="10" s="1"/>
  <c r="Y28" i="9" l="1"/>
  <c r="O28" i="9" s="1"/>
  <c r="AC28" i="9"/>
  <c r="L27" i="10"/>
  <c r="AD35" i="9"/>
  <c r="Z35" i="9"/>
  <c r="O29" i="3"/>
  <c r="D29" i="3" s="1"/>
  <c r="H28" i="10"/>
  <c r="C28" i="10"/>
  <c r="O28" i="10" s="1"/>
  <c r="Y29" i="9" l="1"/>
  <c r="O29" i="9" s="1"/>
  <c r="AC29" i="9"/>
  <c r="L28" i="10"/>
  <c r="AD36" i="9"/>
  <c r="Z36" i="9"/>
  <c r="H29" i="10"/>
  <c r="C29" i="10"/>
  <c r="O29" i="10" s="1"/>
  <c r="O30" i="3"/>
  <c r="D30" i="3" s="1"/>
  <c r="Y30" i="9" l="1"/>
  <c r="O30" i="9" s="1"/>
  <c r="AC30" i="9"/>
  <c r="L29" i="10"/>
  <c r="AD37" i="9"/>
  <c r="Z37" i="9"/>
  <c r="O31" i="3"/>
  <c r="D31" i="3" s="1"/>
  <c r="H30" i="10"/>
  <c r="C30" i="10"/>
  <c r="O30" i="10" s="1"/>
  <c r="Y31" i="9" l="1"/>
  <c r="O31" i="9" s="1"/>
  <c r="AC31" i="9"/>
  <c r="L30" i="10"/>
  <c r="AD38" i="9"/>
  <c r="Z38" i="9"/>
  <c r="H31" i="10"/>
  <c r="C31" i="10"/>
  <c r="O31" i="10" s="1"/>
  <c r="O32" i="3"/>
  <c r="D32" i="3" s="1"/>
  <c r="Y32" i="9" l="1"/>
  <c r="O32" i="9" s="1"/>
  <c r="AC32" i="9"/>
  <c r="L31" i="10"/>
  <c r="AD39" i="9"/>
  <c r="Z39" i="9"/>
  <c r="C32" i="10"/>
  <c r="O32" i="10" s="1"/>
  <c r="H32" i="10"/>
  <c r="O33" i="3"/>
  <c r="D33" i="3" s="1"/>
  <c r="Y33" i="9" l="1"/>
  <c r="O33" i="9" s="1"/>
  <c r="AC33" i="9"/>
  <c r="L32" i="10"/>
  <c r="AD40" i="9"/>
  <c r="Z40" i="9"/>
  <c r="O34" i="3"/>
  <c r="D34" i="3" s="1"/>
  <c r="C33" i="10"/>
  <c r="O33" i="10" s="1"/>
  <c r="H33" i="10"/>
  <c r="Y34" i="9" l="1"/>
  <c r="O34" i="9" s="1"/>
  <c r="AC34" i="9"/>
  <c r="L33" i="10"/>
  <c r="AD41" i="9"/>
  <c r="Z41" i="9"/>
  <c r="C34" i="10"/>
  <c r="O34" i="10" s="1"/>
  <c r="H34" i="10"/>
  <c r="O35" i="3"/>
  <c r="D35" i="3" s="1"/>
  <c r="Y35" i="9" l="1"/>
  <c r="O35" i="9" s="1"/>
  <c r="AC35" i="9"/>
  <c r="L34" i="10"/>
  <c r="AD42" i="9"/>
  <c r="Z42" i="9"/>
  <c r="O36" i="3"/>
  <c r="D36" i="3" s="1"/>
  <c r="C35" i="10"/>
  <c r="O35" i="10" s="1"/>
  <c r="H35" i="10"/>
  <c r="Y36" i="9" l="1"/>
  <c r="O36" i="9" s="1"/>
  <c r="AC36" i="9"/>
  <c r="L35" i="10"/>
  <c r="AD43" i="9"/>
  <c r="Z43" i="9"/>
  <c r="C36" i="10"/>
  <c r="O36" i="10" s="1"/>
  <c r="H36" i="10"/>
  <c r="O37" i="3"/>
  <c r="D37" i="3" s="1"/>
  <c r="Y37" i="9" l="1"/>
  <c r="O37" i="9" s="1"/>
  <c r="AC37" i="9"/>
  <c r="L36" i="10"/>
  <c r="AD44" i="9"/>
  <c r="Z44" i="9"/>
  <c r="C37" i="10"/>
  <c r="O37" i="10" s="1"/>
  <c r="H37" i="10"/>
  <c r="O38" i="3"/>
  <c r="D38" i="3" s="1"/>
  <c r="Y38" i="9" l="1"/>
  <c r="O38" i="9" s="1"/>
  <c r="AC38" i="9"/>
  <c r="L37" i="10"/>
  <c r="AD45" i="9"/>
  <c r="Z45" i="9"/>
  <c r="O39" i="3"/>
  <c r="D39" i="3" s="1"/>
  <c r="C38" i="10"/>
  <c r="O38" i="10" s="1"/>
  <c r="H38" i="10"/>
  <c r="Y39" i="9" l="1"/>
  <c r="O39" i="9" s="1"/>
  <c r="AC39" i="9"/>
  <c r="L38" i="10"/>
  <c r="AD46" i="9"/>
  <c r="Z46" i="9"/>
  <c r="Z47" i="9" s="1"/>
  <c r="O40" i="3"/>
  <c r="D40" i="3" s="1"/>
  <c r="H39" i="10"/>
  <c r="C39" i="10"/>
  <c r="O39" i="10" s="1"/>
  <c r="Y40" i="9" l="1"/>
  <c r="O40" i="9" s="1"/>
  <c r="AC40" i="9"/>
  <c r="L39" i="10"/>
  <c r="O41" i="3"/>
  <c r="D41" i="3" s="1"/>
  <c r="H40" i="10"/>
  <c r="C40" i="10"/>
  <c r="O40" i="10" s="1"/>
  <c r="Y41" i="9" l="1"/>
  <c r="O41" i="9" s="1"/>
  <c r="AC41" i="9"/>
  <c r="L40" i="10"/>
  <c r="C41" i="10"/>
  <c r="O41" i="10" s="1"/>
  <c r="H41" i="10"/>
  <c r="O42" i="3"/>
  <c r="D42" i="3" s="1"/>
  <c r="Y42" i="9" l="1"/>
  <c r="O42" i="9" s="1"/>
  <c r="AC42" i="9"/>
  <c r="L41" i="10"/>
  <c r="H42" i="10"/>
  <c r="C42" i="10"/>
  <c r="O42" i="10" s="1"/>
  <c r="O43" i="3"/>
  <c r="D43" i="3" s="1"/>
  <c r="Y43" i="9" l="1"/>
  <c r="O43" i="9" s="1"/>
  <c r="AC43" i="9"/>
  <c r="L42" i="10"/>
  <c r="O44" i="3"/>
  <c r="D44" i="3" s="1"/>
  <c r="C43" i="10"/>
  <c r="O43" i="10" s="1"/>
  <c r="H43" i="10"/>
  <c r="Y44" i="9" l="1"/>
  <c r="O44" i="9" s="1"/>
  <c r="AC44" i="9"/>
  <c r="L43" i="10"/>
  <c r="C44" i="10"/>
  <c r="O44" i="10" s="1"/>
  <c r="H44" i="10"/>
  <c r="O45" i="3"/>
  <c r="D45" i="3" s="1"/>
  <c r="Y45" i="9" l="1"/>
  <c r="O45" i="9" s="1"/>
  <c r="AC45" i="9"/>
  <c r="L44" i="10"/>
  <c r="H45" i="10"/>
  <c r="C45" i="10"/>
  <c r="O45" i="10" s="1"/>
  <c r="O46" i="3"/>
  <c r="D46" i="3" s="1"/>
  <c r="Y46" i="9" l="1"/>
  <c r="AC46" i="9"/>
  <c r="L46" i="10" s="1"/>
  <c r="L45" i="10"/>
  <c r="O46" i="9" l="1"/>
  <c r="O47" i="9" s="1"/>
  <c r="Y47" i="9"/>
  <c r="C46" i="10"/>
  <c r="O47" i="3"/>
  <c r="O46" i="10" l="1"/>
  <c r="O47" i="10" s="1"/>
  <c r="C47" i="10"/>
  <c r="H46" i="10"/>
  <c r="D47" i="3"/>
  <c r="H47" i="10" l="1"/>
  <c r="J28" i="6"/>
  <c r="J33" i="6"/>
  <c r="J31" i="6"/>
  <c r="J32" i="6"/>
  <c r="J30" i="6"/>
  <c r="E14" i="5" l="1"/>
  <c r="G14" i="5" s="1"/>
  <c r="E46" i="5"/>
  <c r="F46" i="5" s="1"/>
  <c r="D16" i="1" l="1"/>
  <c r="D17" i="1"/>
  <c r="E23" i="5" l="1"/>
  <c r="G23" i="5" s="1"/>
  <c r="E13" i="5"/>
  <c r="G13" i="5" s="1"/>
  <c r="E22" i="5"/>
  <c r="G22" i="5" s="1"/>
  <c r="F36" i="5" l="1"/>
  <c r="G36" i="5" s="1"/>
  <c r="F37" i="5"/>
  <c r="G37" i="5" s="1"/>
  <c r="F27" i="5"/>
  <c r="G27" i="5" s="1"/>
  <c r="G28" i="5" s="1"/>
  <c r="F62" i="5" l="1"/>
  <c r="G62" i="5" s="1"/>
  <c r="F28" i="5"/>
  <c r="F38" i="5"/>
  <c r="G38" i="5" s="1"/>
  <c r="F40" i="5"/>
  <c r="G40" i="5" s="1"/>
  <c r="F61" i="5"/>
  <c r="G61" i="5" s="1"/>
  <c r="M15" i="1"/>
  <c r="F32" i="5"/>
  <c r="G32" i="5" s="1"/>
  <c r="G41" i="5" l="1"/>
  <c r="G64" i="5"/>
  <c r="H61" i="5" l="1"/>
  <c r="H64" i="5"/>
  <c r="G42" i="5"/>
  <c r="M16" i="1"/>
  <c r="M17" i="1" s="1"/>
  <c r="H28" i="5"/>
  <c r="H62" i="5"/>
  <c r="H63" i="5"/>
  <c r="G45" i="5" l="1"/>
  <c r="H10" i="5"/>
  <c r="H41" i="5"/>
  <c r="G53" i="5"/>
  <c r="D5" i="8" s="1"/>
  <c r="D10" i="8" s="1"/>
  <c r="G44" i="5"/>
  <c r="G46" i="5"/>
  <c r="G43" i="5"/>
  <c r="H31" i="5"/>
  <c r="M9" i="9"/>
  <c r="K14" i="9" l="1"/>
  <c r="P6" i="9"/>
  <c r="D6" i="9" s="1"/>
  <c r="I6" i="10" s="1"/>
  <c r="K25" i="9"/>
  <c r="K43" i="9"/>
  <c r="D8" i="8"/>
  <c r="J5" i="8"/>
  <c r="H42" i="5"/>
  <c r="D11" i="8"/>
  <c r="D9" i="8"/>
  <c r="K9" i="9"/>
  <c r="P9" i="9" s="1"/>
  <c r="D9" i="9" s="1"/>
  <c r="K27" i="9"/>
  <c r="K32" i="9"/>
  <c r="K11" i="9"/>
  <c r="K41" i="9"/>
  <c r="K16" i="9"/>
  <c r="K26" i="9"/>
  <c r="K23" i="9"/>
  <c r="K44" i="9"/>
  <c r="K33" i="9"/>
  <c r="K17" i="9"/>
  <c r="K24" i="9"/>
  <c r="K8" i="9"/>
  <c r="P8" i="9" s="1"/>
  <c r="D8" i="9" s="1"/>
  <c r="I8" i="10" s="1"/>
  <c r="J8" i="10" s="1"/>
  <c r="K19" i="9"/>
  <c r="K38" i="9"/>
  <c r="K18" i="9"/>
  <c r="K37" i="9"/>
  <c r="K21" i="9"/>
  <c r="K28" i="9"/>
  <c r="K12" i="9"/>
  <c r="K39" i="9"/>
  <c r="K42" i="9"/>
  <c r="K22" i="9"/>
  <c r="J47" i="9"/>
  <c r="K40" i="9"/>
  <c r="K35" i="9"/>
  <c r="K45" i="9"/>
  <c r="K29" i="9"/>
  <c r="K13" i="9"/>
  <c r="K36" i="9"/>
  <c r="K20" i="9"/>
  <c r="K7" i="9"/>
  <c r="K47" i="9" s="1"/>
  <c r="K31" i="9"/>
  <c r="K15" i="9"/>
  <c r="K34" i="9"/>
  <c r="K10" i="9"/>
  <c r="K46" i="9"/>
  <c r="K30" i="9"/>
  <c r="M10" i="9"/>
  <c r="D6" i="10" l="1"/>
  <c r="D8" i="10"/>
  <c r="E8" i="10" s="1"/>
  <c r="G8" i="10" s="1"/>
  <c r="P10" i="9"/>
  <c r="D10" i="9" s="1"/>
  <c r="P7" i="9"/>
  <c r="D7" i="9" s="1"/>
  <c r="I7" i="10" s="1"/>
  <c r="J7" i="10" s="1"/>
  <c r="M11" i="9"/>
  <c r="P11" i="9" s="1"/>
  <c r="D11" i="9" s="1"/>
  <c r="D9" i="10"/>
  <c r="I9" i="10"/>
  <c r="J9" i="10" s="1"/>
  <c r="J6" i="10"/>
  <c r="P8" i="10" l="1"/>
  <c r="D7" i="10"/>
  <c r="P7" i="10" s="1"/>
  <c r="E6" i="10"/>
  <c r="G6" i="10" s="1"/>
  <c r="P6" i="10"/>
  <c r="E9" i="10"/>
  <c r="G9" i="10" s="1"/>
  <c r="P9" i="10"/>
  <c r="M12" i="9"/>
  <c r="P12" i="9" s="1"/>
  <c r="D12" i="9" s="1"/>
  <c r="D10" i="10"/>
  <c r="P10" i="10" s="1"/>
  <c r="I10" i="10"/>
  <c r="J10" i="10" s="1"/>
  <c r="K6" i="10"/>
  <c r="M6" i="10" s="1"/>
  <c r="E7" i="10" l="1"/>
  <c r="G7" i="10" s="1"/>
  <c r="F6" i="10"/>
  <c r="E10" i="10"/>
  <c r="G10" i="10" s="1"/>
  <c r="I11" i="10"/>
  <c r="J11" i="10" s="1"/>
  <c r="D11" i="10"/>
  <c r="M13" i="9"/>
  <c r="P13" i="9" s="1"/>
  <c r="D13" i="9" s="1"/>
  <c r="K7" i="10"/>
  <c r="F7" i="10" l="1"/>
  <c r="F8" i="10" s="1"/>
  <c r="F9" i="10" s="1"/>
  <c r="F10" i="10" s="1"/>
  <c r="E11" i="10"/>
  <c r="G11" i="10" s="1"/>
  <c r="P11" i="10"/>
  <c r="M14" i="9"/>
  <c r="P14" i="9" s="1"/>
  <c r="D14" i="9" s="1"/>
  <c r="I12" i="10"/>
  <c r="J12" i="10" s="1"/>
  <c r="D12" i="10"/>
  <c r="M7" i="10"/>
  <c r="K8" i="10"/>
  <c r="F11" i="10" l="1"/>
  <c r="E12" i="10"/>
  <c r="G12" i="10" s="1"/>
  <c r="P12" i="10"/>
  <c r="M15" i="9"/>
  <c r="P15" i="9" s="1"/>
  <c r="D15" i="9" s="1"/>
  <c r="I13" i="10"/>
  <c r="J13" i="10" s="1"/>
  <c r="D13" i="10"/>
  <c r="M8" i="10"/>
  <c r="K9" i="10"/>
  <c r="F12" i="10" l="1"/>
  <c r="P13" i="10"/>
  <c r="E13" i="10"/>
  <c r="G13" i="10" s="1"/>
  <c r="M16" i="9"/>
  <c r="P16" i="9" s="1"/>
  <c r="D16" i="9" s="1"/>
  <c r="I14" i="10"/>
  <c r="J14" i="10" s="1"/>
  <c r="D14" i="10"/>
  <c r="M9" i="10"/>
  <c r="K10" i="10"/>
  <c r="E14" i="10" l="1"/>
  <c r="G14" i="10" s="1"/>
  <c r="P14" i="10"/>
  <c r="F13" i="10"/>
  <c r="M17" i="9"/>
  <c r="P17" i="9" s="1"/>
  <c r="D17" i="9" s="1"/>
  <c r="D15" i="10"/>
  <c r="I15" i="10"/>
  <c r="J15" i="10" s="1"/>
  <c r="M10" i="10"/>
  <c r="K11" i="10"/>
  <c r="F14" i="10" l="1"/>
  <c r="E15" i="10"/>
  <c r="G15" i="10" s="1"/>
  <c r="P15" i="10"/>
  <c r="D16" i="10"/>
  <c r="I16" i="10"/>
  <c r="J16" i="10" s="1"/>
  <c r="M18" i="9"/>
  <c r="P18" i="9" s="1"/>
  <c r="D18" i="9" s="1"/>
  <c r="M11" i="10"/>
  <c r="K12" i="10"/>
  <c r="F15" i="10" l="1"/>
  <c r="E16" i="10"/>
  <c r="G16" i="10" s="1"/>
  <c r="P16" i="10"/>
  <c r="M19" i="9"/>
  <c r="P19" i="9" s="1"/>
  <c r="D19" i="9" s="1"/>
  <c r="D17" i="10"/>
  <c r="I17" i="10"/>
  <c r="J17" i="10" s="1"/>
  <c r="M12" i="10"/>
  <c r="K13" i="10"/>
  <c r="F16" i="10" l="1"/>
  <c r="E17" i="10"/>
  <c r="G17" i="10" s="1"/>
  <c r="P17" i="10"/>
  <c r="D18" i="10"/>
  <c r="I18" i="10"/>
  <c r="J18" i="10" s="1"/>
  <c r="M20" i="9"/>
  <c r="P20" i="9" s="1"/>
  <c r="D20" i="9" s="1"/>
  <c r="K14" i="10"/>
  <c r="M13" i="10"/>
  <c r="F17" i="10" l="1"/>
  <c r="E18" i="10"/>
  <c r="G18" i="10" s="1"/>
  <c r="P18" i="10"/>
  <c r="D19" i="10"/>
  <c r="I19" i="10"/>
  <c r="J19" i="10" s="1"/>
  <c r="M21" i="9"/>
  <c r="P21" i="9" s="1"/>
  <c r="D21" i="9" s="1"/>
  <c r="K15" i="10"/>
  <c r="M14" i="10"/>
  <c r="F18" i="10" l="1"/>
  <c r="E19" i="10"/>
  <c r="G19" i="10" s="1"/>
  <c r="P19" i="10"/>
  <c r="M22" i="9"/>
  <c r="P22" i="9" s="1"/>
  <c r="D22" i="9" s="1"/>
  <c r="I20" i="10"/>
  <c r="J20" i="10" s="1"/>
  <c r="D20" i="10"/>
  <c r="K16" i="10"/>
  <c r="M15" i="10"/>
  <c r="F19" i="10" l="1"/>
  <c r="E20" i="10"/>
  <c r="G20" i="10" s="1"/>
  <c r="P20" i="10"/>
  <c r="D21" i="10"/>
  <c r="I21" i="10"/>
  <c r="J21" i="10" s="1"/>
  <c r="M23" i="9"/>
  <c r="P23" i="9" s="1"/>
  <c r="D23" i="9" s="1"/>
  <c r="M16" i="10"/>
  <c r="K17" i="10"/>
  <c r="F20" i="10" l="1"/>
  <c r="E21" i="10"/>
  <c r="G21" i="10" s="1"/>
  <c r="P21" i="10"/>
  <c r="M24" i="9"/>
  <c r="P24" i="9" s="1"/>
  <c r="D24" i="9" s="1"/>
  <c r="D22" i="10"/>
  <c r="I22" i="10"/>
  <c r="J22" i="10" s="1"/>
  <c r="M17" i="10"/>
  <c r="K18" i="10"/>
  <c r="F21" i="10" l="1"/>
  <c r="E22" i="10"/>
  <c r="G22" i="10" s="1"/>
  <c r="P22" i="10"/>
  <c r="M25" i="9"/>
  <c r="P25" i="9" s="1"/>
  <c r="D25" i="9" s="1"/>
  <c r="D23" i="10"/>
  <c r="I23" i="10"/>
  <c r="J23" i="10" s="1"/>
  <c r="K19" i="10"/>
  <c r="M18" i="10"/>
  <c r="F22" i="10" l="1"/>
  <c r="E23" i="10"/>
  <c r="G23" i="10" s="1"/>
  <c r="P23" i="10"/>
  <c r="M26" i="9"/>
  <c r="P26" i="9" s="1"/>
  <c r="D26" i="9" s="1"/>
  <c r="D24" i="10"/>
  <c r="I24" i="10"/>
  <c r="J24" i="10" s="1"/>
  <c r="K20" i="10"/>
  <c r="M19" i="10"/>
  <c r="F23" i="10" l="1"/>
  <c r="E24" i="10"/>
  <c r="G24" i="10" s="1"/>
  <c r="P24" i="10"/>
  <c r="M27" i="9"/>
  <c r="P27" i="9" s="1"/>
  <c r="D27" i="9" s="1"/>
  <c r="D25" i="10"/>
  <c r="I25" i="10"/>
  <c r="J25" i="10" s="1"/>
  <c r="M20" i="10"/>
  <c r="K21" i="10"/>
  <c r="F24" i="10" l="1"/>
  <c r="E25" i="10"/>
  <c r="G25" i="10" s="1"/>
  <c r="P25" i="10"/>
  <c r="I26" i="10"/>
  <c r="J26" i="10" s="1"/>
  <c r="D26" i="10"/>
  <c r="M28" i="9"/>
  <c r="P28" i="9" s="1"/>
  <c r="D28" i="9" s="1"/>
  <c r="M21" i="10"/>
  <c r="K22" i="10"/>
  <c r="F25" i="10" l="1"/>
  <c r="E26" i="10"/>
  <c r="G26" i="10" s="1"/>
  <c r="P26" i="10"/>
  <c r="M29" i="9"/>
  <c r="P29" i="9" s="1"/>
  <c r="D29" i="9" s="1"/>
  <c r="D27" i="10"/>
  <c r="I27" i="10"/>
  <c r="J27" i="10" s="1"/>
  <c r="K23" i="10"/>
  <c r="M22" i="10"/>
  <c r="F26" i="10" l="1"/>
  <c r="E27" i="10"/>
  <c r="G27" i="10" s="1"/>
  <c r="P27" i="10"/>
  <c r="M30" i="9"/>
  <c r="P30" i="9" s="1"/>
  <c r="D30" i="9" s="1"/>
  <c r="D28" i="10"/>
  <c r="I28" i="10"/>
  <c r="J28" i="10" s="1"/>
  <c r="M23" i="10"/>
  <c r="K24" i="10"/>
  <c r="F27" i="10" l="1"/>
  <c r="E28" i="10"/>
  <c r="G28" i="10" s="1"/>
  <c r="P28" i="10"/>
  <c r="M31" i="9"/>
  <c r="P31" i="9" s="1"/>
  <c r="D31" i="9" s="1"/>
  <c r="D29" i="10"/>
  <c r="I29" i="10"/>
  <c r="J29" i="10" s="1"/>
  <c r="M24" i="10"/>
  <c r="K25" i="10"/>
  <c r="F28" i="10" l="1"/>
  <c r="E29" i="10"/>
  <c r="G29" i="10" s="1"/>
  <c r="P29" i="10"/>
  <c r="M32" i="9"/>
  <c r="P32" i="9" s="1"/>
  <c r="D32" i="9" s="1"/>
  <c r="D30" i="10"/>
  <c r="I30" i="10"/>
  <c r="J30" i="10" s="1"/>
  <c r="M25" i="10"/>
  <c r="K26" i="10"/>
  <c r="F29" i="10" l="1"/>
  <c r="E30" i="10"/>
  <c r="G30" i="10" s="1"/>
  <c r="P30" i="10"/>
  <c r="M33" i="9"/>
  <c r="P33" i="9" s="1"/>
  <c r="D33" i="9" s="1"/>
  <c r="I31" i="10"/>
  <c r="J31" i="10" s="1"/>
  <c r="D31" i="10"/>
  <c r="M26" i="10"/>
  <c r="K27" i="10"/>
  <c r="F30" i="10" l="1"/>
  <c r="E31" i="10"/>
  <c r="G31" i="10" s="1"/>
  <c r="P31" i="10"/>
  <c r="D32" i="10"/>
  <c r="I32" i="10"/>
  <c r="J32" i="10" s="1"/>
  <c r="M34" i="9"/>
  <c r="P34" i="9" s="1"/>
  <c r="D34" i="9" s="1"/>
  <c r="M27" i="10"/>
  <c r="K28" i="10"/>
  <c r="F31" i="10" l="1"/>
  <c r="E32" i="10"/>
  <c r="G32" i="10" s="1"/>
  <c r="P32" i="10"/>
  <c r="D33" i="10"/>
  <c r="I33" i="10"/>
  <c r="J33" i="10" s="1"/>
  <c r="M35" i="9"/>
  <c r="P35" i="9" s="1"/>
  <c r="D35" i="9" s="1"/>
  <c r="M28" i="10"/>
  <c r="K29" i="10"/>
  <c r="F32" i="10" l="1"/>
  <c r="E33" i="10"/>
  <c r="G33" i="10" s="1"/>
  <c r="P33" i="10"/>
  <c r="D34" i="10"/>
  <c r="I34" i="10"/>
  <c r="J34" i="10" s="1"/>
  <c r="M36" i="9"/>
  <c r="P36" i="9" s="1"/>
  <c r="D36" i="9" s="1"/>
  <c r="K30" i="10"/>
  <c r="M29" i="10"/>
  <c r="F33" i="10" l="1"/>
  <c r="E34" i="10"/>
  <c r="G34" i="10" s="1"/>
  <c r="P34" i="10"/>
  <c r="D35" i="10"/>
  <c r="I35" i="10"/>
  <c r="J35" i="10" s="1"/>
  <c r="M37" i="9"/>
  <c r="P37" i="9" s="1"/>
  <c r="D37" i="9" s="1"/>
  <c r="K31" i="10"/>
  <c r="M30" i="10"/>
  <c r="F34" i="10" l="1"/>
  <c r="E35" i="10"/>
  <c r="G35" i="10" s="1"/>
  <c r="P35" i="10"/>
  <c r="I36" i="10"/>
  <c r="J36" i="10" s="1"/>
  <c r="D36" i="10"/>
  <c r="M38" i="9"/>
  <c r="P38" i="9" s="1"/>
  <c r="D38" i="9" s="1"/>
  <c r="M31" i="10"/>
  <c r="K32" i="10"/>
  <c r="F35" i="10" l="1"/>
  <c r="E36" i="10"/>
  <c r="G36" i="10" s="1"/>
  <c r="P36" i="10"/>
  <c r="M39" i="9"/>
  <c r="P39" i="9" s="1"/>
  <c r="D39" i="9" s="1"/>
  <c r="I37" i="10"/>
  <c r="J37" i="10" s="1"/>
  <c r="D37" i="10"/>
  <c r="K33" i="10"/>
  <c r="M32" i="10"/>
  <c r="E37" i="10" l="1"/>
  <c r="G37" i="10" s="1"/>
  <c r="P37" i="10"/>
  <c r="F36" i="10"/>
  <c r="D38" i="10"/>
  <c r="I38" i="10"/>
  <c r="J38" i="10" s="1"/>
  <c r="M40" i="9"/>
  <c r="P40" i="9" s="1"/>
  <c r="D40" i="9" s="1"/>
  <c r="K34" i="10"/>
  <c r="M33" i="10"/>
  <c r="F37" i="10" l="1"/>
  <c r="E38" i="10"/>
  <c r="G38" i="10" s="1"/>
  <c r="P38" i="10"/>
  <c r="I39" i="10"/>
  <c r="J39" i="10" s="1"/>
  <c r="D39" i="10"/>
  <c r="M41" i="9"/>
  <c r="P41" i="9" s="1"/>
  <c r="D41" i="9" s="1"/>
  <c r="M34" i="10"/>
  <c r="K35" i="10"/>
  <c r="F38" i="10" l="1"/>
  <c r="E39" i="10"/>
  <c r="G39" i="10" s="1"/>
  <c r="P39" i="10"/>
  <c r="D40" i="10"/>
  <c r="I40" i="10"/>
  <c r="J40" i="10" s="1"/>
  <c r="M42" i="9"/>
  <c r="P42" i="9" s="1"/>
  <c r="D42" i="9" s="1"/>
  <c r="M35" i="10"/>
  <c r="K36" i="10"/>
  <c r="F39" i="10" l="1"/>
  <c r="E40" i="10"/>
  <c r="G40" i="10" s="1"/>
  <c r="P40" i="10"/>
  <c r="I41" i="10"/>
  <c r="J41" i="10" s="1"/>
  <c r="D41" i="10"/>
  <c r="M43" i="9"/>
  <c r="P43" i="9" s="1"/>
  <c r="D43" i="9" s="1"/>
  <c r="K37" i="10"/>
  <c r="M36" i="10"/>
  <c r="F40" i="10" l="1"/>
  <c r="E41" i="10"/>
  <c r="G41" i="10" s="1"/>
  <c r="P41" i="10"/>
  <c r="I42" i="10"/>
  <c r="J42" i="10" s="1"/>
  <c r="D42" i="10"/>
  <c r="M44" i="9"/>
  <c r="P44" i="9" s="1"/>
  <c r="D44" i="9" s="1"/>
  <c r="K38" i="10"/>
  <c r="M37" i="10"/>
  <c r="F41" i="10" l="1"/>
  <c r="E42" i="10"/>
  <c r="G42" i="10" s="1"/>
  <c r="P42" i="10"/>
  <c r="D43" i="10"/>
  <c r="I43" i="10"/>
  <c r="J43" i="10" s="1"/>
  <c r="M45" i="9"/>
  <c r="P45" i="9" s="1"/>
  <c r="D45" i="9" s="1"/>
  <c r="M38" i="10"/>
  <c r="K39" i="10"/>
  <c r="F42" i="10" l="1"/>
  <c r="E43" i="10"/>
  <c r="G43" i="10" s="1"/>
  <c r="P43" i="10"/>
  <c r="D44" i="10"/>
  <c r="I44" i="10"/>
  <c r="J44" i="10" s="1"/>
  <c r="M46" i="9"/>
  <c r="P46" i="9" s="1"/>
  <c r="D46" i="9" s="1"/>
  <c r="M39" i="10"/>
  <c r="K40" i="10"/>
  <c r="F43" i="10" l="1"/>
  <c r="E44" i="10"/>
  <c r="G44" i="10" s="1"/>
  <c r="P44" i="10"/>
  <c r="M47" i="9"/>
  <c r="D45" i="10"/>
  <c r="I45" i="10"/>
  <c r="J45" i="10" s="1"/>
  <c r="K41" i="10"/>
  <c r="M40" i="10"/>
  <c r="F44" i="10" l="1"/>
  <c r="E45" i="10"/>
  <c r="G45" i="10" s="1"/>
  <c r="P45" i="10"/>
  <c r="D46" i="10"/>
  <c r="F50" i="10" s="1"/>
  <c r="P47" i="9"/>
  <c r="M41" i="10"/>
  <c r="K42" i="10"/>
  <c r="F45" i="10" l="1"/>
  <c r="P46" i="10"/>
  <c r="P47" i="10" s="1"/>
  <c r="E46" i="10"/>
  <c r="G46" i="10" s="1"/>
  <c r="H49" i="10"/>
  <c r="D47" i="10"/>
  <c r="F49" i="10" s="1"/>
  <c r="D47" i="9"/>
  <c r="I46" i="10"/>
  <c r="K43" i="10"/>
  <c r="M42" i="10"/>
  <c r="E47" i="10" l="1"/>
  <c r="Z113" i="3" s="1"/>
  <c r="D49" i="10"/>
  <c r="D50" i="10"/>
  <c r="I47" i="10"/>
  <c r="J46" i="10"/>
  <c r="J47" i="10" s="1"/>
  <c r="F46" i="10"/>
  <c r="H50" i="10" s="1"/>
  <c r="M43" i="10"/>
  <c r="K44" i="10"/>
  <c r="J49" i="10" l="1"/>
  <c r="E51" i="10"/>
  <c r="AA163" i="3"/>
  <c r="M44" i="10"/>
  <c r="K45" i="10"/>
  <c r="K46" i="10" l="1"/>
  <c r="M45" i="10"/>
</calcChain>
</file>

<file path=xl/sharedStrings.xml><?xml version="1.0" encoding="utf-8"?>
<sst xmlns="http://schemas.openxmlformats.org/spreadsheetml/2006/main" count="482" uniqueCount="394">
  <si>
    <t>(단위: 원)</t>
    <phoneticPr fontId="5" type="noConversion"/>
  </si>
  <si>
    <t>구       분</t>
  </si>
  <si>
    <t>내        용</t>
  </si>
  <si>
    <t>구분</t>
    <phoneticPr fontId="8" type="noConversion"/>
  </si>
  <si>
    <t>항목</t>
    <phoneticPr fontId="8" type="noConversion"/>
  </si>
  <si>
    <t>산출근거</t>
    <phoneticPr fontId="8" type="noConversion"/>
  </si>
  <si>
    <t>단위비용</t>
    <phoneticPr fontId="8" type="noConversion"/>
  </si>
  <si>
    <t>비용</t>
    <phoneticPr fontId="8" type="noConversion"/>
  </si>
  <si>
    <t>비율</t>
    <phoneticPr fontId="8" type="noConversion"/>
  </si>
  <si>
    <t>비고</t>
    <phoneticPr fontId="8" type="noConversion"/>
  </si>
  <si>
    <t>대 지 위 치</t>
  </si>
  <si>
    <t>지 역 지 구</t>
  </si>
  <si>
    <t>계</t>
    <phoneticPr fontId="5" type="noConversion"/>
  </si>
  <si>
    <t>대 지 면 적</t>
    <phoneticPr fontId="5" type="noConversion"/>
  </si>
  <si>
    <t>건축  면적</t>
    <phoneticPr fontId="5" type="noConversion"/>
  </si>
  <si>
    <t>건  폐  율</t>
  </si>
  <si>
    <t>연면적</t>
    <phoneticPr fontId="5" type="noConversion"/>
  </si>
  <si>
    <t>지상층</t>
    <phoneticPr fontId="5" type="noConversion"/>
  </si>
  <si>
    <t>건축공사1</t>
    <phoneticPr fontId="5" type="noConversion"/>
  </si>
  <si>
    <t>지하층</t>
    <phoneticPr fontId="5" type="noConversion"/>
  </si>
  <si>
    <t>건축공사2</t>
    <phoneticPr fontId="5" type="noConversion"/>
  </si>
  <si>
    <t>용   적   율</t>
    <phoneticPr fontId="5" type="noConversion"/>
  </si>
  <si>
    <t>대출비율</t>
    <phoneticPr fontId="5" type="noConversion"/>
  </si>
  <si>
    <t>(단위 : ㎡, 원)</t>
    <phoneticPr fontId="5" type="noConversion"/>
  </si>
  <si>
    <t>설  계  비</t>
    <phoneticPr fontId="5" type="noConversion"/>
  </si>
  <si>
    <t>용도</t>
    <phoneticPr fontId="5" type="noConversion"/>
  </si>
  <si>
    <t>층별</t>
    <phoneticPr fontId="5" type="noConversion"/>
  </si>
  <si>
    <t>전용면적</t>
  </si>
  <si>
    <t>감  리  비</t>
    <phoneticPr fontId="5" type="noConversion"/>
  </si>
  <si>
    <t>근생</t>
    <phoneticPr fontId="5" type="noConversion"/>
  </si>
  <si>
    <t>1층</t>
    <phoneticPr fontId="5" type="noConversion"/>
  </si>
  <si>
    <t>주거</t>
    <phoneticPr fontId="5" type="noConversion"/>
  </si>
  <si>
    <t>2층</t>
    <phoneticPr fontId="5" type="noConversion"/>
  </si>
  <si>
    <t>판매비</t>
    <phoneticPr fontId="5" type="noConversion"/>
  </si>
  <si>
    <t>광고홍보비</t>
    <phoneticPr fontId="5" type="noConversion"/>
  </si>
  <si>
    <t>소   계</t>
    <phoneticPr fontId="5" type="noConversion"/>
  </si>
  <si>
    <t>3층</t>
    <phoneticPr fontId="8" type="noConversion"/>
  </si>
  <si>
    <t>민원처리비</t>
    <phoneticPr fontId="5" type="noConversion"/>
  </si>
  <si>
    <t>일반관리비</t>
    <phoneticPr fontId="5" type="noConversion"/>
  </si>
  <si>
    <t>4층</t>
    <phoneticPr fontId="8" type="noConversion"/>
  </si>
  <si>
    <t>채권매입비</t>
    <phoneticPr fontId="5" type="noConversion"/>
  </si>
  <si>
    <t>5층</t>
    <phoneticPr fontId="8" type="noConversion"/>
  </si>
  <si>
    <t>합계</t>
    <phoneticPr fontId="8" type="noConversion"/>
  </si>
  <si>
    <t>세대당건축비</t>
    <phoneticPr fontId="8" type="noConversion"/>
  </si>
  <si>
    <t>비고</t>
    <phoneticPr fontId="5" type="noConversion"/>
  </si>
  <si>
    <t>금액</t>
    <phoneticPr fontId="8" type="noConversion"/>
  </si>
  <si>
    <t>공급면적</t>
  </si>
  <si>
    <t>재산세</t>
    <phoneticPr fontId="8" type="noConversion"/>
  </si>
  <si>
    <t>주거</t>
    <phoneticPr fontId="8" type="noConversion"/>
  </si>
  <si>
    <t>기타</t>
    <phoneticPr fontId="5" type="noConversion"/>
  </si>
  <si>
    <t>주차장</t>
    <phoneticPr fontId="5" type="noConversion"/>
  </si>
  <si>
    <t>합계</t>
    <phoneticPr fontId="5" type="noConversion"/>
  </si>
  <si>
    <t>총사업비</t>
    <phoneticPr fontId="8" type="noConversion"/>
  </si>
  <si>
    <t>년도</t>
    <phoneticPr fontId="8" type="noConversion"/>
  </si>
  <si>
    <t>토지평가액</t>
    <phoneticPr fontId="8" type="noConversion"/>
  </si>
  <si>
    <t>대출잔액</t>
    <phoneticPr fontId="8" type="noConversion"/>
  </si>
  <si>
    <t>약정이자</t>
    <phoneticPr fontId="8" type="noConversion"/>
  </si>
  <si>
    <t>연차</t>
    <phoneticPr fontId="8" type="noConversion"/>
  </si>
  <si>
    <t>계</t>
    <phoneticPr fontId="8" type="noConversion"/>
  </si>
  <si>
    <t>수익률</t>
    <phoneticPr fontId="8" type="noConversion"/>
  </si>
  <si>
    <t>■ 지가변동률 계산</t>
    <phoneticPr fontId="8" type="noConversion"/>
  </si>
  <si>
    <t> {(1 + a/100) × (1 + b/100) × (1 + c/100) × (1 + d/100) × (1 + (e/100)-1} × 100%</t>
  </si>
  <si>
    <t>2015 년도 1/4 (기준시점) 의 지가 변동률 = a</t>
    <phoneticPr fontId="8" type="noConversion"/>
  </si>
  <si>
    <t>2015 년도 2/4 의 지가 변동률 = b</t>
    <phoneticPr fontId="8" type="noConversion"/>
  </si>
  <si>
    <t>2015 년도 3/4 의 지가 변동률 = c</t>
    <phoneticPr fontId="8" type="noConversion"/>
  </si>
  <si>
    <t>2015 년도 4/4 의 지가 변동률 = d</t>
    <phoneticPr fontId="8" type="noConversion"/>
  </si>
  <si>
    <t>2016 년도 1/4 (수정시점) 의 지가 변동률 = e</t>
    <phoneticPr fontId="8" type="noConversion"/>
  </si>
  <si>
    <t>2015 년도 1/4 부터 2016 년도 1/4 까지의 지가 변동률</t>
    <phoneticPr fontId="8" type="noConversion"/>
  </si>
  <si>
    <t>세대수</t>
    <phoneticPr fontId="8" type="noConversion"/>
  </si>
  <si>
    <t>토지임대보증금 및 초기토지임대료</t>
    <phoneticPr fontId="8" type="noConversion"/>
  </si>
  <si>
    <t>판관비 + 기타 제세공과</t>
    <phoneticPr fontId="5" type="noConversion"/>
  </si>
  <si>
    <t>공급면적당건축비</t>
    <phoneticPr fontId="8" type="noConversion"/>
  </si>
  <si>
    <t>계약면적당건축비</t>
    <phoneticPr fontId="8" type="noConversion"/>
  </si>
  <si>
    <t>사업면적당건축비</t>
    <phoneticPr fontId="8" type="noConversion"/>
  </si>
  <si>
    <t>신 축 규 모</t>
    <phoneticPr fontId="5" type="noConversion"/>
  </si>
  <si>
    <t>신 축 구 조</t>
    <phoneticPr fontId="5" type="noConversion"/>
  </si>
  <si>
    <t>신 축 용 도</t>
    <phoneticPr fontId="5" type="noConversion"/>
  </si>
  <si>
    <t>건축사업비</t>
    <phoneticPr fontId="8" type="noConversion"/>
  </si>
  <si>
    <t>직접공사비</t>
    <phoneticPr fontId="8" type="noConversion"/>
  </si>
  <si>
    <t>간접공사비</t>
    <phoneticPr fontId="8" type="noConversion"/>
  </si>
  <si>
    <t>2) 사회투자기금대출</t>
    <phoneticPr fontId="8" type="noConversion"/>
  </si>
  <si>
    <t>3) 주택도시기금대출</t>
    <phoneticPr fontId="8" type="noConversion"/>
  </si>
  <si>
    <t>5) 자기자본금</t>
    <phoneticPr fontId="8" type="noConversion"/>
  </si>
  <si>
    <t>2) 사회투자기금대출 이율</t>
    <phoneticPr fontId="8" type="noConversion"/>
  </si>
  <si>
    <t>3) 주택도시기금대출 이율</t>
    <phoneticPr fontId="8" type="noConversion"/>
  </si>
  <si>
    <t>4) 민간기금대출 이율</t>
    <phoneticPr fontId="8" type="noConversion"/>
  </si>
  <si>
    <t>18년 5月 - '19년 4月</t>
    <phoneticPr fontId="8" type="noConversion"/>
  </si>
  <si>
    <t>임대보증금
증액분</t>
    <phoneticPr fontId="8" type="noConversion"/>
  </si>
  <si>
    <t>4) 민간기금대출</t>
    <phoneticPr fontId="8" type="noConversion"/>
  </si>
  <si>
    <t>1) HUG보증 
민간금융 대출</t>
    <phoneticPr fontId="8" type="noConversion"/>
  </si>
  <si>
    <t>2) 사회투자
기금대출</t>
    <phoneticPr fontId="8" type="noConversion"/>
  </si>
  <si>
    <t>3) 주택도시
기금대출</t>
    <phoneticPr fontId="8" type="noConversion"/>
  </si>
  <si>
    <t>4) 민간기금
대출</t>
    <phoneticPr fontId="8" type="noConversion"/>
  </si>
  <si>
    <t>상환원금</t>
    <phoneticPr fontId="8" type="noConversion"/>
  </si>
  <si>
    <t>다. 재원 조달 계획 (엑셀서식 활용)</t>
  </si>
  <si>
    <t>1) 비용 분석</t>
  </si>
  <si>
    <t>내부유보자금</t>
    <phoneticPr fontId="8" type="noConversion"/>
  </si>
  <si>
    <t>투자유치</t>
    <phoneticPr fontId="8" type="noConversion"/>
  </si>
  <si>
    <t>기부/후원금</t>
    <phoneticPr fontId="8" type="noConversion"/>
  </si>
  <si>
    <t>보조금/지원금</t>
    <phoneticPr fontId="8" type="noConversion"/>
  </si>
  <si>
    <t>회사채발행 등</t>
    <phoneticPr fontId="8" type="noConversion"/>
  </si>
  <si>
    <t>합계 금액</t>
    <phoneticPr fontId="8" type="noConversion"/>
  </si>
  <si>
    <t>조달예상시기</t>
    <phoneticPr fontId="8" type="noConversion"/>
  </si>
  <si>
    <t>총 조달금액</t>
    <phoneticPr fontId="8" type="noConversion"/>
  </si>
  <si>
    <t>3) 사업수지분석</t>
    <phoneticPr fontId="8" type="noConversion"/>
  </si>
  <si>
    <t>총 사업비 합계</t>
    <phoneticPr fontId="8" type="noConversion"/>
  </si>
  <si>
    <t>전용 85㎡ 이하 25% 감면</t>
    <phoneticPr fontId="8" type="noConversion"/>
  </si>
  <si>
    <t>전용 60㎡ 이하 50% 감면, 지역자원시설세 100% 면제</t>
    <phoneticPr fontId="8" type="noConversion"/>
  </si>
  <si>
    <t>전용 40㎡ 이하 100% 감면, 지역자원시설세 100% 면제</t>
    <phoneticPr fontId="8" type="noConversion"/>
  </si>
  <si>
    <t>전용 84㎡ 50% 감면</t>
    <phoneticPr fontId="8" type="noConversion"/>
  </si>
  <si>
    <t>* 재산세 감면 (지방세특례제한법, 아래 항목 2018년 12월 31일 한시 적용)</t>
    <phoneticPr fontId="8" type="noConversion"/>
  </si>
  <si>
    <t>전용 60㎡ 75% 감면, 지역자원시설세 100% 면제</t>
    <phoneticPr fontId="8" type="noConversion"/>
  </si>
  <si>
    <r>
      <t>총</t>
    </r>
    <r>
      <rPr>
        <b/>
        <sz val="16"/>
        <rFont val="Arial Narrow"/>
        <family val="2"/>
      </rPr>
      <t xml:space="preserve"> </t>
    </r>
    <r>
      <rPr>
        <b/>
        <sz val="16"/>
        <rFont val="돋움"/>
        <family val="3"/>
        <charset val="129"/>
      </rPr>
      <t>조달금액</t>
    </r>
    <r>
      <rPr>
        <b/>
        <sz val="16"/>
        <rFont val="Arial Narrow"/>
        <family val="2"/>
      </rPr>
      <t xml:space="preserve"> </t>
    </r>
    <r>
      <rPr>
        <b/>
        <sz val="16"/>
        <rFont val="돋움"/>
        <family val="3"/>
        <charset val="129"/>
      </rPr>
      <t>중</t>
    </r>
    <r>
      <rPr>
        <b/>
        <sz val="16"/>
        <rFont val="Arial Narrow"/>
        <family val="2"/>
      </rPr>
      <t xml:space="preserve"> </t>
    </r>
    <r>
      <rPr>
        <b/>
        <sz val="16"/>
        <rFont val="돋움"/>
        <family val="3"/>
        <charset val="129"/>
      </rPr>
      <t>대출</t>
    </r>
    <phoneticPr fontId="8" type="noConversion"/>
  </si>
  <si>
    <r>
      <rPr>
        <b/>
        <sz val="24"/>
        <rFont val="바탕"/>
        <family val="1"/>
        <charset val="129"/>
      </rPr>
      <t>□</t>
    </r>
    <r>
      <rPr>
        <b/>
        <sz val="24"/>
        <rFont val="돋움"/>
        <family val="3"/>
        <charset val="129"/>
      </rPr>
      <t>현금흐름 분석</t>
    </r>
    <phoneticPr fontId="8" type="noConversion"/>
  </si>
  <si>
    <r>
      <t>조달완료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금액</t>
    </r>
    <phoneticPr fontId="8" type="noConversion"/>
  </si>
  <si>
    <r>
      <t>조달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예정금액</t>
    </r>
    <phoneticPr fontId="8" type="noConversion"/>
  </si>
  <si>
    <t>항  목</t>
    <phoneticPr fontId="8" type="noConversion"/>
  </si>
  <si>
    <t>□ 재원조달계획</t>
    <phoneticPr fontId="8" type="noConversion"/>
  </si>
  <si>
    <r>
      <rPr>
        <b/>
        <sz val="14"/>
        <rFont val="Arial Narrow"/>
        <family val="2"/>
      </rPr>
      <t>1) HUG</t>
    </r>
    <r>
      <rPr>
        <b/>
        <sz val="14"/>
        <rFont val="돋움"/>
        <family val="3"/>
        <charset val="129"/>
      </rPr>
      <t>보증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민간금융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대출</t>
    </r>
    <phoneticPr fontId="8" type="noConversion"/>
  </si>
  <si>
    <r>
      <rPr>
        <b/>
        <sz val="14"/>
        <rFont val="Arial Narrow"/>
        <family val="2"/>
      </rPr>
      <t>1) HUG</t>
    </r>
    <r>
      <rPr>
        <b/>
        <sz val="14"/>
        <rFont val="돋움"/>
        <family val="3"/>
        <charset val="129"/>
      </rPr>
      <t>보증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민간금융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대출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이율</t>
    </r>
    <r>
      <rPr>
        <b/>
        <sz val="14"/>
        <rFont val="Arial Narrow"/>
        <family val="2"/>
      </rPr>
      <t>(</t>
    </r>
    <r>
      <rPr>
        <b/>
        <sz val="14"/>
        <rFont val="돋움"/>
        <family val="3"/>
        <charset val="129"/>
      </rPr>
      <t>보증료포함</t>
    </r>
    <r>
      <rPr>
        <b/>
        <sz val="14"/>
        <rFont val="Arial Narrow"/>
        <family val="2"/>
      </rPr>
      <t>)</t>
    </r>
    <phoneticPr fontId="8" type="noConversion"/>
  </si>
  <si>
    <t>* 시장이자율</t>
    <phoneticPr fontId="8" type="noConversion"/>
  </si>
  <si>
    <t>* 현재가치할인율</t>
    <phoneticPr fontId="8" type="noConversion"/>
  </si>
  <si>
    <t>구분</t>
    <phoneticPr fontId="8" type="noConversion"/>
  </si>
  <si>
    <t>항목</t>
    <phoneticPr fontId="8" type="noConversion"/>
  </si>
  <si>
    <t>산출근거</t>
    <phoneticPr fontId="8" type="noConversion"/>
  </si>
  <si>
    <t>단위비용</t>
    <phoneticPr fontId="8" type="noConversion"/>
  </si>
  <si>
    <t>비용</t>
    <phoneticPr fontId="8" type="noConversion"/>
  </si>
  <si>
    <t>비고</t>
    <phoneticPr fontId="8" type="noConversion"/>
  </si>
  <si>
    <t>토지매매평가차액</t>
    <phoneticPr fontId="5" type="noConversion"/>
  </si>
  <si>
    <t>* 재산세 도시지역분 (지방세법 제112조)</t>
    <phoneticPr fontId="8" type="noConversion"/>
  </si>
  <si>
    <t xml:space="preserve">  - 지방자치단체의 장은 조례로 정하는 바에 따라</t>
    <phoneticPr fontId="8" type="noConversion"/>
  </si>
  <si>
    <t xml:space="preserve">  -  도시지역 안에 있는 토지, 건축물, 주택에 대하여</t>
    <phoneticPr fontId="8" type="noConversion"/>
  </si>
  <si>
    <t xml:space="preserve">  -  “재산세 과세표준”에 1천분의 1.4를 적용하여 산출한 세액을 재산세에 합산하여 부과</t>
    <phoneticPr fontId="8" type="noConversion"/>
  </si>
  <si>
    <t>공급면적
(전용+공용)</t>
    <phoneticPr fontId="5" type="noConversion"/>
  </si>
  <si>
    <t>발코니면적</t>
    <phoneticPr fontId="5" type="noConversion"/>
  </si>
  <si>
    <t>임대면적
(공급+발코니)</t>
    <phoneticPr fontId="5" type="noConversion"/>
  </si>
  <si>
    <t>평형</t>
    <phoneticPr fontId="5" type="noConversion"/>
  </si>
  <si>
    <t>㎡</t>
    <phoneticPr fontId="8" type="noConversion"/>
  </si>
  <si>
    <t>(단위: ㎡, 원,  VAT포함)</t>
    <phoneticPr fontId="5" type="noConversion"/>
  </si>
  <si>
    <t>□ 세대별 면적표</t>
    <phoneticPr fontId="5" type="noConversion"/>
  </si>
  <si>
    <t>□ 층별 면적표</t>
    <phoneticPr fontId="5" type="noConversion"/>
  </si>
  <si>
    <t>세대수</t>
    <phoneticPr fontId="5" type="noConversion"/>
  </si>
  <si>
    <t>발코니면적</t>
    <phoneticPr fontId="8" type="noConversion"/>
  </si>
  <si>
    <t>공용면적</t>
    <phoneticPr fontId="5" type="noConversion"/>
  </si>
  <si>
    <t>1. 건축개요</t>
    <phoneticPr fontId="5" type="noConversion"/>
  </si>
  <si>
    <t>내      용</t>
    <phoneticPr fontId="8" type="noConversion"/>
  </si>
  <si>
    <t>개별공시지가</t>
    <phoneticPr fontId="5" type="noConversion"/>
  </si>
  <si>
    <t>표준공시지가
(성산동 20-2)</t>
    <phoneticPr fontId="5" type="noConversion"/>
  </si>
  <si>
    <t>전체 사업비</t>
    <phoneticPr fontId="5" type="noConversion"/>
  </si>
  <si>
    <t>필요 대출금액</t>
    <phoneticPr fontId="5" type="noConversion"/>
  </si>
  <si>
    <t>공사비</t>
    <phoneticPr fontId="5" type="noConversion"/>
  </si>
  <si>
    <t>토지면적:</t>
    <phoneticPr fontId="5" type="noConversion"/>
  </si>
  <si>
    <t>도로편입:</t>
    <phoneticPr fontId="5" type="noConversion"/>
  </si>
  <si>
    <t>사업면적
[주차장,다락방,
발코니포함]</t>
    <phoneticPr fontId="5" type="noConversion"/>
  </si>
  <si>
    <t>법정 용적율:</t>
    <phoneticPr fontId="5" type="noConversion"/>
  </si>
  <si>
    <t>토지임차료</t>
    <phoneticPr fontId="8" type="noConversion"/>
  </si>
  <si>
    <t>토지 임차
인상률
(2년간 2%)</t>
    <phoneticPr fontId="8" type="noConversion"/>
  </si>
  <si>
    <t>공사기간 토지임차료</t>
    <phoneticPr fontId="8" type="noConversion"/>
  </si>
  <si>
    <t>토지매입
자부담</t>
    <phoneticPr fontId="8" type="noConversion"/>
  </si>
  <si>
    <t>토지임차</t>
    <phoneticPr fontId="8" type="noConversion"/>
  </si>
  <si>
    <t>토지임차 보증금</t>
    <phoneticPr fontId="8" type="noConversion"/>
  </si>
  <si>
    <t>* 토지임차료 산정 이자율</t>
    <phoneticPr fontId="8" type="noConversion"/>
  </si>
  <si>
    <t>* 토지임차비 상승률</t>
    <phoneticPr fontId="8" type="noConversion"/>
  </si>
  <si>
    <t>대출상환액</t>
    <phoneticPr fontId="8" type="noConversion"/>
  </si>
  <si>
    <t>대출이자납부</t>
    <phoneticPr fontId="8" type="noConversion"/>
  </si>
  <si>
    <t>유지관리비</t>
    <phoneticPr fontId="8" type="noConversion"/>
  </si>
  <si>
    <t>현금유입(ⓐ)</t>
    <phoneticPr fontId="8" type="noConversion"/>
  </si>
  <si>
    <t>소계</t>
    <phoneticPr fontId="8" type="noConversion"/>
  </si>
  <si>
    <t>현금지출(ⓑ)</t>
    <phoneticPr fontId="8" type="noConversion"/>
  </si>
  <si>
    <t xml:space="preserve"> '18년 5月 - '19년 4月</t>
    <phoneticPr fontId="8" type="noConversion"/>
  </si>
  <si>
    <t>현금흐름</t>
    <phoneticPr fontId="8" type="noConversion"/>
  </si>
  <si>
    <t>유입</t>
    <phoneticPr fontId="8" type="noConversion"/>
  </si>
  <si>
    <t>사업수지흐름</t>
    <phoneticPr fontId="8" type="noConversion"/>
  </si>
  <si>
    <t>누계</t>
    <phoneticPr fontId="8" type="noConversion"/>
  </si>
  <si>
    <t>연
차</t>
    <phoneticPr fontId="8" type="noConversion"/>
  </si>
  <si>
    <t>유출</t>
    <phoneticPr fontId="8" type="noConversion"/>
  </si>
  <si>
    <t>재무활동</t>
    <phoneticPr fontId="8" type="noConversion"/>
  </si>
  <si>
    <t>임대료수입</t>
    <phoneticPr fontId="8" type="noConversion"/>
  </si>
  <si>
    <t>영업활동</t>
    <phoneticPr fontId="8" type="noConversion"/>
  </si>
  <si>
    <t>IRR</t>
    <phoneticPr fontId="8" type="noConversion"/>
  </si>
  <si>
    <t>연평균수익률</t>
    <phoneticPr fontId="8" type="noConversion"/>
  </si>
  <si>
    <t>손익분기점</t>
    <phoneticPr fontId="8" type="noConversion"/>
  </si>
  <si>
    <t>NPV</t>
    <phoneticPr fontId="8" type="noConversion"/>
  </si>
  <si>
    <t>주택분 취득경비</t>
    <phoneticPr fontId="8" type="noConversion"/>
  </si>
  <si>
    <t>지반조사</t>
    <phoneticPr fontId="5" type="noConversion"/>
  </si>
  <si>
    <t>허가조건이행비</t>
    <phoneticPr fontId="5" type="noConversion"/>
  </si>
  <si>
    <t>https://c4c.lx.or.kr/fee/selectFee.do</t>
  </si>
  <si>
    <t>* 취득세 감면 (지방세특례제한법, 아래 항목 2018년 12월 31일 한시 적용)</t>
    <phoneticPr fontId="8" type="noConversion"/>
  </si>
  <si>
    <t xml:space="preserve">   - 지방세특례제한법 제31조1항 : 임대주택</t>
    <phoneticPr fontId="8" type="noConversion"/>
  </si>
  <si>
    <t xml:space="preserve">   - 지방세특례제한법 제31조3항 : 임대주택</t>
    <phoneticPr fontId="8" type="noConversion"/>
  </si>
  <si>
    <t xml:space="preserve">   - 지방세특례제한법 제31조3 1항 : 준공공임대주택</t>
    <phoneticPr fontId="8" type="noConversion"/>
  </si>
  <si>
    <t>전용 60㎡ 이하 취득세 면제</t>
    <phoneticPr fontId="8" type="noConversion"/>
  </si>
  <si>
    <t>기타예비비</t>
    <phoneticPr fontId="8" type="noConversion"/>
  </si>
  <si>
    <t xml:space="preserve">  참고 : 서울시 지방세 세목별 안내 http://finance.seoul.go.kr/archives/106</t>
    <phoneticPr fontId="8" type="noConversion"/>
  </si>
  <si>
    <t>장기수선충당금</t>
    <phoneticPr fontId="8" type="noConversion"/>
  </si>
  <si>
    <t>화재보험료</t>
    <phoneticPr fontId="8" type="noConversion"/>
  </si>
  <si>
    <t>관리비</t>
    <phoneticPr fontId="8" type="noConversion"/>
  </si>
  <si>
    <t>소계</t>
    <phoneticPr fontId="8" type="noConversion"/>
  </si>
  <si>
    <t>재산세</t>
    <phoneticPr fontId="8" type="noConversion"/>
  </si>
  <si>
    <t>지방교육세</t>
    <phoneticPr fontId="8" type="noConversion"/>
  </si>
  <si>
    <t>도시지역분</t>
    <phoneticPr fontId="8" type="noConversion"/>
  </si>
  <si>
    <t>B101</t>
  </si>
  <si>
    <t>B101</t>
    <phoneticPr fontId="8" type="noConversion"/>
  </si>
  <si>
    <t>B1층</t>
    <phoneticPr fontId="5" type="noConversion"/>
  </si>
  <si>
    <t>소계</t>
    <phoneticPr fontId="8" type="noConversion"/>
  </si>
  <si>
    <t>B1</t>
    <phoneticPr fontId="5" type="noConversion"/>
  </si>
  <si>
    <t>1층</t>
    <phoneticPr fontId="8" type="noConversion"/>
  </si>
  <si>
    <t>호수
(유형)</t>
    <phoneticPr fontId="5" type="noConversion"/>
  </si>
  <si>
    <t>층</t>
    <phoneticPr fontId="5" type="noConversion"/>
  </si>
  <si>
    <t>2층</t>
    <phoneticPr fontId="8" type="noConversion"/>
  </si>
  <si>
    <t>3층</t>
    <phoneticPr fontId="8" type="noConversion"/>
  </si>
  <si>
    <t>4층</t>
    <phoneticPr fontId="8" type="noConversion"/>
  </si>
  <si>
    <t>5층</t>
    <phoneticPr fontId="8" type="noConversion"/>
  </si>
  <si>
    <t>층별 면적 소계</t>
    <phoneticPr fontId="8" type="noConversion"/>
  </si>
  <si>
    <t>평</t>
    <phoneticPr fontId="5" type="noConversion"/>
  </si>
  <si>
    <t>402(복층)</t>
    <phoneticPr fontId="8" type="noConversion"/>
  </si>
  <si>
    <t>커뮤니티 시설</t>
    <phoneticPr fontId="5" type="noConversion"/>
  </si>
  <si>
    <t>커뮤니티 시설+주거</t>
    <phoneticPr fontId="5" type="noConversion"/>
  </si>
  <si>
    <t>/</t>
    <phoneticPr fontId="8" type="noConversion"/>
  </si>
  <si>
    <t>연면적제외,
사업면적포함</t>
    <phoneticPr fontId="8" type="noConversion"/>
  </si>
  <si>
    <t>-</t>
    <phoneticPr fontId="8" type="noConversion"/>
  </si>
  <si>
    <t>501(3R)</t>
    <phoneticPr fontId="8" type="noConversion"/>
  </si>
  <si>
    <t>403(2R)</t>
    <phoneticPr fontId="8" type="noConversion"/>
  </si>
  <si>
    <t>401(2R)</t>
    <phoneticPr fontId="8" type="noConversion"/>
  </si>
  <si>
    <t>301(2R)</t>
    <phoneticPr fontId="8" type="noConversion"/>
  </si>
  <si>
    <t>302(2R)</t>
    <phoneticPr fontId="8" type="noConversion"/>
  </si>
  <si>
    <t>303(2R)</t>
    <phoneticPr fontId="8" type="noConversion"/>
  </si>
  <si>
    <t>202(2R)</t>
    <phoneticPr fontId="8" type="noConversion"/>
  </si>
  <si>
    <t>203(2R)</t>
    <phoneticPr fontId="8" type="noConversion"/>
  </si>
  <si>
    <t>누계(a)</t>
    <phoneticPr fontId="8" type="noConversion"/>
  </si>
  <si>
    <t>부채잔액
(대출+보증금)
(b)</t>
    <phoneticPr fontId="8" type="noConversion"/>
  </si>
  <si>
    <t>부채대비
현금보유율
(a/b)</t>
    <phoneticPr fontId="8" type="noConversion"/>
  </si>
  <si>
    <t>http://easylaw.go.kr/CSP/CnpClsMain.laf?popMenu=ov&amp;csmSeq=864&amp;ccfNo=4&amp;cciNo=1&amp;cnpClsNo=1</t>
    <phoneticPr fontId="8" type="noConversion"/>
  </si>
  <si>
    <t>세대수
(근생 3 포함)</t>
    <phoneticPr fontId="5" type="noConversion"/>
  </si>
  <si>
    <t>비고
(공급+발코니)</t>
    <phoneticPr fontId="5" type="noConversion"/>
  </si>
  <si>
    <t>건축허가 수수료</t>
    <phoneticPr fontId="8" type="noConversion"/>
  </si>
  <si>
    <t>보존등기비(주택)</t>
    <phoneticPr fontId="5" type="noConversion"/>
  </si>
  <si>
    <t>보존등기비(근생)</t>
    <phoneticPr fontId="5" type="noConversion"/>
  </si>
  <si>
    <t>http://i121.seoul.go.kr/cs/cyber/front/cvplsvc/NR_inquireCostAptForm.do?_m=m2_3_3</t>
    <phoneticPr fontId="8" type="noConversion"/>
  </si>
  <si>
    <t>http://cyber.kepco.co.kr/ckepco/front/jsp/CY/J/G/CYJGPP001.jsp</t>
  </si>
  <si>
    <t>측    량</t>
    <phoneticPr fontId="8" type="noConversion"/>
  </si>
  <si>
    <t>철  거  비</t>
    <phoneticPr fontId="5" type="noConversion"/>
  </si>
  <si>
    <t>하자이행보증보험료</t>
    <phoneticPr fontId="8" type="noConversion"/>
  </si>
  <si>
    <t>http://nhuf.molit.go.kr/FP/FP07/FP0705/FP070504.jsp#none</t>
  </si>
  <si>
    <t>HUG보증민간금융 대출</t>
    <phoneticPr fontId="8" type="noConversion"/>
  </si>
  <si>
    <t>사회투자기금대출</t>
    <phoneticPr fontId="8" type="noConversion"/>
  </si>
  <si>
    <t>민간기금대출</t>
    <phoneticPr fontId="8" type="noConversion"/>
  </si>
  <si>
    <t>자기자본금</t>
    <phoneticPr fontId="8" type="noConversion"/>
  </si>
  <si>
    <r>
      <rPr>
        <sz val="14"/>
        <color theme="1"/>
        <rFont val="돋움"/>
        <family val="3"/>
        <charset val="129"/>
      </rPr>
      <t>공사비</t>
    </r>
    <r>
      <rPr>
        <sz val="14"/>
        <color theme="1"/>
        <rFont val="Arial Narrow"/>
        <family val="2"/>
      </rPr>
      <t>×0.5%</t>
    </r>
    <phoneticPr fontId="8" type="noConversion"/>
  </si>
  <si>
    <r>
      <rPr>
        <sz val="14"/>
        <color theme="1"/>
        <rFont val="돋움"/>
        <family val="3"/>
        <charset val="129"/>
      </rPr>
      <t>공사비</t>
    </r>
    <r>
      <rPr>
        <sz val="14"/>
        <color theme="1"/>
        <rFont val="Arial Narrow"/>
        <family val="2"/>
      </rPr>
      <t>×17/100000</t>
    </r>
    <phoneticPr fontId="8" type="noConversion"/>
  </si>
  <si>
    <r>
      <rPr>
        <sz val="14"/>
        <color theme="1"/>
        <rFont val="돋움"/>
        <family val="3"/>
        <charset val="129"/>
      </rPr>
      <t>임대</t>
    </r>
    <r>
      <rPr>
        <sz val="14"/>
        <color theme="1"/>
        <rFont val="Arial Narrow"/>
        <family val="2"/>
      </rPr>
      <t xml:space="preserve"> 1</t>
    </r>
    <r>
      <rPr>
        <sz val="14"/>
        <color theme="1"/>
        <rFont val="돋움"/>
        <family val="3"/>
        <charset val="129"/>
      </rPr>
      <t>년도부터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발생</t>
    </r>
    <phoneticPr fontId="8" type="noConversion"/>
  </si>
  <si>
    <r>
      <rPr>
        <sz val="14"/>
        <color theme="1"/>
        <rFont val="돋움"/>
        <family val="3"/>
        <charset val="129"/>
      </rPr>
      <t>전용</t>
    </r>
    <r>
      <rPr>
        <sz val="14"/>
        <color theme="1"/>
        <rFont val="Arial Narrow"/>
        <family val="2"/>
      </rPr>
      <t xml:space="preserve"> 40</t>
    </r>
    <r>
      <rPr>
        <sz val="14"/>
        <color theme="1"/>
        <rFont val="돋움"/>
        <family val="3"/>
        <charset val="129"/>
      </rPr>
      <t>㎡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이하</t>
    </r>
    <r>
      <rPr>
        <sz val="14"/>
        <color theme="1"/>
        <rFont val="Arial Narrow"/>
        <family val="2"/>
      </rPr>
      <t xml:space="preserve"> (</t>
    </r>
    <r>
      <rPr>
        <sz val="14"/>
        <color theme="1"/>
        <rFont val="돋움"/>
        <family val="3"/>
        <charset val="129"/>
      </rPr>
      <t>공시</t>
    </r>
    <r>
      <rPr>
        <sz val="14"/>
        <color theme="1"/>
        <rFont val="Arial Narrow"/>
        <family val="2"/>
      </rPr>
      <t xml:space="preserve"> 120</t>
    </r>
    <r>
      <rPr>
        <sz val="14"/>
        <color theme="1"/>
        <rFont val="돋움"/>
        <family val="3"/>
        <charset val="129"/>
      </rPr>
      <t>백만원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추정</t>
    </r>
    <r>
      <rPr>
        <sz val="14"/>
        <color theme="1"/>
        <rFont val="Arial Narrow"/>
        <family val="2"/>
      </rPr>
      <t xml:space="preserve">)
</t>
    </r>
    <r>
      <rPr>
        <sz val="14"/>
        <color theme="1"/>
        <rFont val="돋움"/>
        <family val="3"/>
        <charset val="129"/>
      </rPr>
      <t>전용</t>
    </r>
    <r>
      <rPr>
        <sz val="14"/>
        <color theme="1"/>
        <rFont val="Arial Narrow"/>
        <family val="2"/>
      </rPr>
      <t xml:space="preserve"> 60</t>
    </r>
    <r>
      <rPr>
        <sz val="14"/>
        <color theme="1"/>
        <rFont val="돋움"/>
        <family val="3"/>
        <charset val="129"/>
      </rPr>
      <t>㎡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이하</t>
    </r>
    <r>
      <rPr>
        <sz val="14"/>
        <color theme="1"/>
        <rFont val="Arial Narrow"/>
        <family val="2"/>
      </rPr>
      <t xml:space="preserve"> (</t>
    </r>
    <r>
      <rPr>
        <sz val="14"/>
        <color theme="1"/>
        <rFont val="돋움"/>
        <family val="3"/>
        <charset val="129"/>
      </rPr>
      <t>공시</t>
    </r>
    <r>
      <rPr>
        <sz val="14"/>
        <color theme="1"/>
        <rFont val="Arial Narrow"/>
        <family val="2"/>
      </rPr>
      <t xml:space="preserve"> 160</t>
    </r>
    <r>
      <rPr>
        <sz val="14"/>
        <color theme="1"/>
        <rFont val="돋움"/>
        <family val="3"/>
        <charset val="129"/>
      </rPr>
      <t>백만원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추정</t>
    </r>
    <r>
      <rPr>
        <sz val="14"/>
        <color theme="1"/>
        <rFont val="Arial Narrow"/>
        <family val="2"/>
      </rPr>
      <t>)
 *</t>
    </r>
    <r>
      <rPr>
        <sz val="14"/>
        <color theme="1"/>
        <rFont val="돋움"/>
        <family val="3"/>
        <charset val="129"/>
      </rPr>
      <t>재산세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감면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미적용</t>
    </r>
    <phoneticPr fontId="8" type="noConversion"/>
  </si>
  <si>
    <r>
      <rPr>
        <sz val="14"/>
        <color theme="1"/>
        <rFont val="돋움"/>
        <family val="3"/>
        <charset val="129"/>
      </rPr>
      <t>재산세</t>
    </r>
    <r>
      <rPr>
        <sz val="14"/>
        <color theme="1"/>
        <rFont val="Arial Narrow"/>
        <family val="2"/>
      </rPr>
      <t>×20%</t>
    </r>
    <phoneticPr fontId="8" type="noConversion"/>
  </si>
  <si>
    <r>
      <rPr>
        <sz val="14"/>
        <color theme="1"/>
        <rFont val="돋움"/>
        <family val="3"/>
        <charset val="129"/>
      </rPr>
      <t>재산세</t>
    </r>
    <r>
      <rPr>
        <sz val="14"/>
        <color theme="1"/>
        <rFont val="Arial Narrow"/>
        <family val="2"/>
      </rPr>
      <t xml:space="preserve"> </t>
    </r>
    <r>
      <rPr>
        <sz val="14"/>
        <color theme="1"/>
        <rFont val="돋움"/>
        <family val="3"/>
        <charset val="129"/>
      </rPr>
      <t>과세표준</t>
    </r>
    <r>
      <rPr>
        <sz val="14"/>
        <color theme="1"/>
        <rFont val="Arial Narrow"/>
        <family val="2"/>
      </rPr>
      <t>*1.4/1000</t>
    </r>
  </si>
  <si>
    <r>
      <t>2</t>
    </r>
    <r>
      <rPr>
        <sz val="18"/>
        <rFont val="바탕"/>
        <family val="1"/>
        <charset val="129"/>
      </rPr>
      <t>종</t>
    </r>
    <r>
      <rPr>
        <sz val="18"/>
        <rFont val="Arial Narrow"/>
        <family val="2"/>
      </rPr>
      <t xml:space="preserve"> </t>
    </r>
    <r>
      <rPr>
        <sz val="18"/>
        <rFont val="바탕"/>
        <family val="1"/>
        <charset val="129"/>
      </rPr>
      <t>일반주거지역</t>
    </r>
    <r>
      <rPr>
        <sz val="18"/>
        <rFont val="Arial Narrow"/>
        <family val="2"/>
      </rPr>
      <t>[7</t>
    </r>
    <r>
      <rPr>
        <sz val="18"/>
        <rFont val="바탕"/>
        <family val="1"/>
        <charset val="129"/>
      </rPr>
      <t>층이하</t>
    </r>
    <r>
      <rPr>
        <sz val="18"/>
        <rFont val="Arial Narrow"/>
        <family val="2"/>
      </rPr>
      <t>]</t>
    </r>
    <phoneticPr fontId="5" type="noConversion"/>
  </si>
  <si>
    <r>
      <t xml:space="preserve"> </t>
    </r>
    <r>
      <rPr>
        <sz val="18"/>
        <rFont val="바탕"/>
        <family val="1"/>
        <charset val="129"/>
      </rPr>
      <t>지상</t>
    </r>
    <r>
      <rPr>
        <sz val="18"/>
        <rFont val="Arial Narrow"/>
        <family val="2"/>
      </rPr>
      <t>5</t>
    </r>
    <r>
      <rPr>
        <sz val="18"/>
        <rFont val="바탕"/>
        <family val="1"/>
        <charset val="129"/>
      </rPr>
      <t>층</t>
    </r>
    <phoneticPr fontId="5" type="noConversion"/>
  </si>
  <si>
    <r>
      <rPr>
        <sz val="18"/>
        <rFont val="바탕"/>
        <family val="1"/>
        <charset val="129"/>
      </rPr>
      <t>철근콘크리트조</t>
    </r>
    <phoneticPr fontId="5" type="noConversion"/>
  </si>
  <si>
    <r>
      <rPr>
        <sz val="18"/>
        <rFont val="바탕"/>
        <family val="1"/>
        <charset val="129"/>
      </rPr>
      <t>다세대주택</t>
    </r>
    <phoneticPr fontId="5" type="noConversion"/>
  </si>
  <si>
    <r>
      <rPr>
        <sz val="16"/>
        <color theme="1"/>
        <rFont val="바탕"/>
        <family val="1"/>
        <charset val="129"/>
      </rPr>
      <t>과세표준</t>
    </r>
    <r>
      <rPr>
        <sz val="16"/>
        <color theme="1"/>
        <rFont val="Arial Narrow"/>
        <family val="2"/>
      </rPr>
      <t>(</t>
    </r>
    <r>
      <rPr>
        <sz val="16"/>
        <color theme="1"/>
        <rFont val="바탕"/>
        <family val="1"/>
        <charset val="129"/>
      </rPr>
      <t>주택공시가격</t>
    </r>
    <r>
      <rPr>
        <sz val="16"/>
        <color theme="1"/>
        <rFont val="Arial Narrow"/>
        <family val="2"/>
      </rPr>
      <t>*60%)*</t>
    </r>
    <r>
      <rPr>
        <sz val="16"/>
        <color theme="1"/>
        <rFont val="바탕"/>
        <family val="1"/>
        <charset val="129"/>
      </rPr>
      <t>세율</t>
    </r>
    <phoneticPr fontId="8" type="noConversion"/>
  </si>
  <si>
    <r>
      <t>1</t>
    </r>
    <r>
      <rPr>
        <sz val="16"/>
        <color theme="1"/>
        <rFont val="돋움"/>
        <family val="3"/>
        <charset val="129"/>
      </rPr>
      <t>식</t>
    </r>
    <phoneticPr fontId="8" type="noConversion"/>
  </si>
  <si>
    <t>광고물제작</t>
    <phoneticPr fontId="5" type="noConversion"/>
  </si>
  <si>
    <t>임대료
인상률
(매 2년)</t>
    <phoneticPr fontId="8" type="noConversion"/>
  </si>
  <si>
    <r>
      <rPr>
        <sz val="14"/>
        <rFont val="돋움"/>
        <family val="3"/>
        <charset val="129"/>
      </rPr>
      <t>토지매매계약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>이전</t>
    </r>
    <phoneticPr fontId="8" type="noConversion"/>
  </si>
  <si>
    <t>착공시</t>
    <phoneticPr fontId="8" type="noConversion"/>
  </si>
  <si>
    <r>
      <rPr>
        <sz val="14"/>
        <rFont val="돋움"/>
        <family val="3"/>
        <charset val="129"/>
      </rPr>
      <t>건축허가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>이전</t>
    </r>
    <phoneticPr fontId="8" type="noConversion"/>
  </si>
  <si>
    <t>토지임대차 계약 시</t>
    <phoneticPr fontId="8" type="noConversion"/>
  </si>
  <si>
    <t>상환계획</t>
    <phoneticPr fontId="8" type="noConversion"/>
  </si>
  <si>
    <r>
      <rPr>
        <sz val="14"/>
        <rFont val="돋움"/>
        <family val="3"/>
        <charset val="129"/>
      </rPr>
      <t>임대</t>
    </r>
    <r>
      <rPr>
        <sz val="14"/>
        <rFont val="Arial Narrow"/>
        <family val="2"/>
      </rPr>
      <t xml:space="preserve"> 1</t>
    </r>
    <r>
      <rPr>
        <sz val="14"/>
        <rFont val="돋움"/>
        <family val="3"/>
        <charset val="129"/>
      </rPr>
      <t>년차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>조기상환</t>
    </r>
    <phoneticPr fontId="8" type="noConversion"/>
  </si>
  <si>
    <r>
      <t>1</t>
    </r>
    <r>
      <rPr>
        <sz val="14"/>
        <rFont val="돋움"/>
        <family val="3"/>
        <charset val="129"/>
      </rPr>
      <t>년거치</t>
    </r>
    <r>
      <rPr>
        <sz val="14"/>
        <rFont val="Arial Narrow"/>
        <family val="2"/>
      </rPr>
      <t xml:space="preserve"> 7</t>
    </r>
    <r>
      <rPr>
        <sz val="14"/>
        <rFont val="돋움"/>
        <family val="3"/>
        <charset val="129"/>
      </rPr>
      <t>년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 xml:space="preserve">분할
</t>
    </r>
    <r>
      <rPr>
        <sz val="14"/>
        <rFont val="Arial Narrow"/>
        <family val="2"/>
      </rPr>
      <t>(70%</t>
    </r>
    <r>
      <rPr>
        <sz val="14"/>
        <rFont val="돋움"/>
        <family val="3"/>
        <charset val="129"/>
      </rPr>
      <t>조기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>상환</t>
    </r>
    <r>
      <rPr>
        <sz val="14"/>
        <rFont val="Arial Narrow"/>
        <family val="2"/>
      </rPr>
      <t>)</t>
    </r>
    <phoneticPr fontId="8" type="noConversion"/>
  </si>
  <si>
    <r>
      <t>1</t>
    </r>
    <r>
      <rPr>
        <sz val="14"/>
        <rFont val="돋움"/>
        <family val="3"/>
        <charset val="129"/>
      </rPr>
      <t>년거치</t>
    </r>
    <r>
      <rPr>
        <sz val="14"/>
        <rFont val="Arial Narrow"/>
        <family val="2"/>
      </rPr>
      <t xml:space="preserve"> 14</t>
    </r>
    <r>
      <rPr>
        <sz val="14"/>
        <rFont val="돋움"/>
        <family val="3"/>
        <charset val="129"/>
      </rPr>
      <t>년</t>
    </r>
    <r>
      <rPr>
        <sz val="14"/>
        <rFont val="Arial Narrow"/>
        <family val="2"/>
      </rPr>
      <t xml:space="preserve"> </t>
    </r>
    <r>
      <rPr>
        <sz val="14"/>
        <rFont val="돋움"/>
        <family val="3"/>
        <charset val="129"/>
      </rPr>
      <t xml:space="preserve">분할
</t>
    </r>
    <r>
      <rPr>
        <sz val="14"/>
        <rFont val="Arial Narrow"/>
        <family val="2"/>
      </rPr>
      <t xml:space="preserve">(60% </t>
    </r>
    <r>
      <rPr>
        <sz val="14"/>
        <rFont val="돋움"/>
        <family val="3"/>
        <charset val="129"/>
      </rPr>
      <t>조기상환</t>
    </r>
    <r>
      <rPr>
        <sz val="14"/>
        <rFont val="Arial Narrow"/>
        <family val="2"/>
      </rPr>
      <t>)</t>
    </r>
    <phoneticPr fontId="8" type="noConversion"/>
  </si>
  <si>
    <t>* 임대보증금.임대료 인상률 17차부터</t>
    <phoneticPr fontId="8" type="noConversion"/>
  </si>
  <si>
    <t>임대보증금.임대료인상률 1년차~16년차</t>
    <phoneticPr fontId="8" type="noConversion"/>
  </si>
  <si>
    <t>1%~4%</t>
    <phoneticPr fontId="8" type="noConversion"/>
  </si>
  <si>
    <t>수지차</t>
    <phoneticPr fontId="8" type="noConversion"/>
  </si>
  <si>
    <t>`</t>
    <phoneticPr fontId="8" type="noConversion"/>
  </si>
  <si>
    <t>감가상각비</t>
    <phoneticPr fontId="8" type="noConversion"/>
  </si>
  <si>
    <t>수익</t>
    <phoneticPr fontId="8" type="noConversion"/>
  </si>
  <si>
    <t>비용</t>
    <phoneticPr fontId="8" type="noConversion"/>
  </si>
  <si>
    <t>이익</t>
    <phoneticPr fontId="8" type="noConversion"/>
  </si>
  <si>
    <t>수익/비용</t>
    <phoneticPr fontId="8" type="noConversion"/>
  </si>
  <si>
    <t>수익/비용 (할인)</t>
    <phoneticPr fontId="8" type="noConversion"/>
  </si>
  <si>
    <t>ROE</t>
    <phoneticPr fontId="8" type="noConversion"/>
  </si>
  <si>
    <r>
      <t>임대보증금</t>
    </r>
    <r>
      <rPr>
        <b/>
        <sz val="11"/>
        <rFont val="Arial Narrow"/>
        <family val="2"/>
      </rPr>
      <t xml:space="preserve"> 
</t>
    </r>
    <r>
      <rPr>
        <b/>
        <sz val="11"/>
        <rFont val="돋움"/>
        <family val="3"/>
        <charset val="129"/>
      </rPr>
      <t>총액</t>
    </r>
    <phoneticPr fontId="8" type="noConversion"/>
  </si>
  <si>
    <r>
      <t>40</t>
    </r>
    <r>
      <rPr>
        <sz val="11"/>
        <color theme="0"/>
        <rFont val="돋움"/>
        <family val="3"/>
        <charset val="129"/>
      </rPr>
      <t>년</t>
    </r>
    <r>
      <rPr>
        <sz val="11"/>
        <color theme="0"/>
        <rFont val="Arial Narrow"/>
        <family val="2"/>
      </rPr>
      <t xml:space="preserve"> </t>
    </r>
    <r>
      <rPr>
        <sz val="11"/>
        <color theme="0"/>
        <rFont val="돋움"/>
        <family val="3"/>
        <charset val="129"/>
      </rPr>
      <t>사업기간</t>
    </r>
    <r>
      <rPr>
        <sz val="11"/>
        <color theme="0"/>
        <rFont val="Arial Narrow"/>
        <family val="2"/>
      </rPr>
      <t xml:space="preserve"> </t>
    </r>
    <r>
      <rPr>
        <sz val="11"/>
        <color theme="0"/>
        <rFont val="돋움"/>
        <family val="3"/>
        <charset val="129"/>
      </rPr>
      <t>종료후</t>
    </r>
    <r>
      <rPr>
        <sz val="11"/>
        <color theme="0"/>
        <rFont val="Arial Narrow"/>
        <family val="2"/>
      </rPr>
      <t xml:space="preserve"> </t>
    </r>
    <r>
      <rPr>
        <sz val="11"/>
        <color theme="0"/>
        <rFont val="돋움"/>
        <family val="3"/>
        <charset val="129"/>
      </rPr>
      <t>보증금</t>
    </r>
    <r>
      <rPr>
        <sz val="11"/>
        <color theme="0"/>
        <rFont val="Arial Narrow"/>
        <family val="2"/>
      </rPr>
      <t xml:space="preserve"> </t>
    </r>
    <r>
      <rPr>
        <sz val="11"/>
        <color theme="0"/>
        <rFont val="돋움"/>
        <family val="3"/>
        <charset val="129"/>
      </rPr>
      <t>반환</t>
    </r>
    <phoneticPr fontId="8" type="noConversion"/>
  </si>
  <si>
    <r>
      <t>현재가치할인액</t>
    </r>
    <r>
      <rPr>
        <b/>
        <sz val="11"/>
        <rFont val="Arial Narrow"/>
        <family val="2"/>
      </rPr>
      <t xml:space="preserve"> </t>
    </r>
    <r>
      <rPr>
        <b/>
        <sz val="11"/>
        <rFont val="돋움"/>
        <family val="3"/>
        <charset val="129"/>
      </rPr>
      <t>합계</t>
    </r>
    <r>
      <rPr>
        <b/>
        <sz val="11"/>
        <rFont val="Arial Narrow"/>
        <family val="2"/>
      </rPr>
      <t xml:space="preserve">(D) </t>
    </r>
    <phoneticPr fontId="8" type="noConversion"/>
  </si>
  <si>
    <r>
      <rPr>
        <sz val="14"/>
        <color theme="1"/>
        <rFont val="돋움"/>
        <family val="3"/>
        <charset val="129"/>
      </rPr>
      <t>초기임대보증금</t>
    </r>
    <r>
      <rPr>
        <sz val="14"/>
        <color theme="1"/>
        <rFont val="Arial Narrow"/>
        <family val="2"/>
      </rPr>
      <t>×1.1%</t>
    </r>
    <phoneticPr fontId="8" type="noConversion"/>
  </si>
  <si>
    <r>
      <rPr>
        <b/>
        <sz val="14"/>
        <rFont val="돋움"/>
        <family val="3"/>
        <charset val="129"/>
      </rPr>
      <t>구분</t>
    </r>
    <phoneticPr fontId="8" type="noConversion"/>
  </si>
  <si>
    <r>
      <rPr>
        <b/>
        <sz val="14"/>
        <rFont val="돋움"/>
        <family val="3"/>
        <charset val="129"/>
      </rPr>
      <t>유형</t>
    </r>
    <phoneticPr fontId="8" type="noConversion"/>
  </si>
  <si>
    <r>
      <rPr>
        <b/>
        <sz val="14"/>
        <rFont val="돋움"/>
        <family val="3"/>
        <charset val="129"/>
      </rPr>
      <t>호수</t>
    </r>
    <phoneticPr fontId="8" type="noConversion"/>
  </si>
  <si>
    <r>
      <rPr>
        <b/>
        <sz val="14"/>
        <rFont val="돋움"/>
        <family val="3"/>
        <charset val="129"/>
      </rPr>
      <t>가구
수</t>
    </r>
    <phoneticPr fontId="8" type="noConversion"/>
  </si>
  <si>
    <r>
      <rPr>
        <b/>
        <sz val="14"/>
        <rFont val="돋움"/>
        <family val="3"/>
        <charset val="129"/>
      </rPr>
      <t>임대면적</t>
    </r>
    <phoneticPr fontId="8" type="noConversion"/>
  </si>
  <si>
    <r>
      <rPr>
        <b/>
        <sz val="14"/>
        <rFont val="돋움"/>
        <family val="3"/>
        <charset val="129"/>
      </rPr>
      <t>주변시세</t>
    </r>
    <phoneticPr fontId="8" type="noConversion"/>
  </si>
  <si>
    <r>
      <rPr>
        <b/>
        <sz val="14"/>
        <rFont val="돋움"/>
        <family val="3"/>
        <charset val="129"/>
      </rPr>
      <t>적용임대조건</t>
    </r>
    <phoneticPr fontId="8" type="noConversion"/>
  </si>
  <si>
    <r>
      <rPr>
        <b/>
        <sz val="14"/>
        <rFont val="돋움"/>
        <family val="3"/>
        <charset val="129"/>
      </rPr>
      <t>전세</t>
    </r>
    <phoneticPr fontId="8" type="noConversion"/>
  </si>
  <si>
    <r>
      <rPr>
        <b/>
        <sz val="14"/>
        <rFont val="돋움"/>
        <family val="3"/>
        <charset val="129"/>
      </rPr>
      <t xml:space="preserve">순수전세
</t>
    </r>
    <r>
      <rPr>
        <b/>
        <sz val="14"/>
        <rFont val="Arial Narrow"/>
        <family val="2"/>
      </rPr>
      <t>(</t>
    </r>
    <r>
      <rPr>
        <b/>
        <sz val="14"/>
        <rFont val="돋움"/>
        <family val="3"/>
        <charset val="129"/>
      </rPr>
      <t>시세</t>
    </r>
    <r>
      <rPr>
        <b/>
        <sz val="14"/>
        <rFont val="Arial Narrow"/>
        <family val="2"/>
      </rPr>
      <t>80%)</t>
    </r>
    <phoneticPr fontId="8" type="noConversion"/>
  </si>
  <si>
    <r>
      <rPr>
        <b/>
        <sz val="14"/>
        <rFont val="돋움"/>
        <family val="3"/>
        <charset val="129"/>
      </rPr>
      <t>초기
임대보증금</t>
    </r>
    <phoneticPr fontId="8" type="noConversion"/>
  </si>
  <si>
    <r>
      <rPr>
        <b/>
        <sz val="14"/>
        <rFont val="돋움"/>
        <family val="3"/>
        <charset val="129"/>
      </rPr>
      <t xml:space="preserve">초기임대료
</t>
    </r>
    <r>
      <rPr>
        <b/>
        <sz val="14"/>
        <rFont val="Arial Narrow"/>
        <family val="2"/>
      </rPr>
      <t>/</t>
    </r>
    <r>
      <rPr>
        <b/>
        <sz val="14"/>
        <rFont val="돋움"/>
        <family val="3"/>
        <charset val="129"/>
      </rPr>
      <t>월</t>
    </r>
    <phoneticPr fontId="8" type="noConversion"/>
  </si>
  <si>
    <r>
      <rPr>
        <b/>
        <sz val="14"/>
        <rFont val="돋움"/>
        <family val="3"/>
        <charset val="129"/>
      </rPr>
      <t>㎡당</t>
    </r>
    <r>
      <rPr>
        <b/>
        <sz val="14"/>
        <rFont val="Arial Narrow"/>
        <family val="2"/>
      </rPr>
      <t xml:space="preserve"> </t>
    </r>
    <r>
      <rPr>
        <b/>
        <sz val="14"/>
        <rFont val="돋움"/>
        <family val="3"/>
        <charset val="129"/>
      </rPr>
      <t>월세</t>
    </r>
    <phoneticPr fontId="8" type="noConversion"/>
  </si>
  <si>
    <r>
      <rPr>
        <b/>
        <sz val="14"/>
        <rFont val="돋움"/>
        <family val="3"/>
        <charset val="129"/>
      </rPr>
      <t xml:space="preserve">연간임대료
</t>
    </r>
    <r>
      <rPr>
        <b/>
        <sz val="14"/>
        <rFont val="Arial Narrow"/>
        <family val="2"/>
      </rPr>
      <t>[</t>
    </r>
    <r>
      <rPr>
        <b/>
        <sz val="14"/>
        <rFont val="돋움"/>
        <family val="3"/>
        <charset val="129"/>
      </rPr>
      <t>입주율산입</t>
    </r>
    <r>
      <rPr>
        <b/>
        <sz val="14"/>
        <rFont val="Arial Narrow"/>
        <family val="2"/>
      </rPr>
      <t>]</t>
    </r>
    <phoneticPr fontId="8" type="noConversion"/>
  </si>
  <si>
    <r>
      <rPr>
        <b/>
        <sz val="14"/>
        <rFont val="돋움"/>
        <family val="3"/>
        <charset val="129"/>
      </rPr>
      <t>근생</t>
    </r>
    <phoneticPr fontId="8" type="noConversion"/>
  </si>
  <si>
    <r>
      <rPr>
        <sz val="14"/>
        <rFont val="돋움"/>
        <family val="3"/>
        <charset val="129"/>
      </rPr>
      <t>커뮤니티</t>
    </r>
    <phoneticPr fontId="8" type="noConversion"/>
  </si>
  <si>
    <r>
      <rPr>
        <b/>
        <sz val="14"/>
        <rFont val="돋움"/>
        <family val="3"/>
        <charset val="129"/>
      </rPr>
      <t>소계</t>
    </r>
    <phoneticPr fontId="8" type="noConversion"/>
  </si>
  <si>
    <r>
      <rPr>
        <b/>
        <sz val="14"/>
        <rFont val="돋움"/>
        <family val="3"/>
        <charset val="129"/>
      </rPr>
      <t>주거</t>
    </r>
    <phoneticPr fontId="8" type="noConversion"/>
  </si>
  <si>
    <r>
      <rPr>
        <sz val="14"/>
        <rFont val="돋움"/>
        <family val="3"/>
        <charset val="129"/>
      </rPr>
      <t>독립</t>
    </r>
    <r>
      <rPr>
        <sz val="14"/>
        <rFont val="Arial Narrow"/>
        <family val="2"/>
      </rPr>
      <t>(2R)</t>
    </r>
    <phoneticPr fontId="8" type="noConversion"/>
  </si>
  <si>
    <r>
      <t>402(</t>
    </r>
    <r>
      <rPr>
        <sz val="14"/>
        <rFont val="돋움"/>
        <family val="3"/>
        <charset val="129"/>
      </rPr>
      <t>복층</t>
    </r>
    <r>
      <rPr>
        <sz val="14"/>
        <rFont val="Arial Narrow"/>
        <family val="2"/>
      </rPr>
      <t>)</t>
    </r>
    <phoneticPr fontId="8" type="noConversion"/>
  </si>
  <si>
    <r>
      <rPr>
        <sz val="14"/>
        <rFont val="돋움"/>
        <family val="3"/>
        <charset val="129"/>
      </rPr>
      <t>쉐어</t>
    </r>
    <r>
      <rPr>
        <sz val="14"/>
        <rFont val="Arial Narrow"/>
        <family val="2"/>
      </rPr>
      <t>(3R)</t>
    </r>
    <phoneticPr fontId="8" type="noConversion"/>
  </si>
  <si>
    <r>
      <rPr>
        <b/>
        <sz val="14"/>
        <rFont val="돋움"/>
        <family val="3"/>
        <charset val="129"/>
      </rPr>
      <t>합계</t>
    </r>
    <phoneticPr fontId="8" type="noConversion"/>
  </si>
  <si>
    <r>
      <rPr>
        <b/>
        <sz val="13"/>
        <rFont val="돋움"/>
        <family val="3"/>
        <charset val="129"/>
      </rPr>
      <t>㎡당</t>
    </r>
    <r>
      <rPr>
        <b/>
        <sz val="13"/>
        <rFont val="Arial Narrow"/>
        <family val="2"/>
      </rPr>
      <t xml:space="preserve"> </t>
    </r>
    <r>
      <rPr>
        <b/>
        <sz val="13"/>
        <rFont val="돋움"/>
        <family val="3"/>
        <charset val="129"/>
      </rPr>
      <t>주택임대료</t>
    </r>
    <r>
      <rPr>
        <b/>
        <sz val="13"/>
        <rFont val="Arial Narrow"/>
        <family val="2"/>
      </rPr>
      <t xml:space="preserve"> </t>
    </r>
    <r>
      <rPr>
        <b/>
        <sz val="13"/>
        <rFont val="돋움"/>
        <family val="3"/>
        <charset val="129"/>
      </rPr>
      <t>금액</t>
    </r>
    <r>
      <rPr>
        <b/>
        <sz val="13"/>
        <rFont val="Arial Narrow"/>
        <family val="2"/>
      </rPr>
      <t xml:space="preserve"> :</t>
    </r>
    <phoneticPr fontId="8" type="noConversion"/>
  </si>
  <si>
    <r>
      <rPr>
        <b/>
        <sz val="13"/>
        <rFont val="돋움"/>
        <family val="3"/>
        <charset val="129"/>
      </rPr>
      <t>원</t>
    </r>
    <r>
      <rPr>
        <b/>
        <sz val="13"/>
        <rFont val="Arial Narrow"/>
        <family val="2"/>
      </rPr>
      <t>/</t>
    </r>
    <r>
      <rPr>
        <b/>
        <sz val="13"/>
        <rFont val="돋움"/>
        <family val="3"/>
        <charset val="129"/>
      </rPr>
      <t>월</t>
    </r>
    <phoneticPr fontId="8" type="noConversion"/>
  </si>
  <si>
    <r>
      <rPr>
        <b/>
        <sz val="13"/>
        <rFont val="돋움"/>
        <family val="3"/>
        <charset val="129"/>
      </rPr>
      <t>주변평균
임대료</t>
    </r>
    <phoneticPr fontId="8" type="noConversion"/>
  </si>
  <si>
    <r>
      <t xml:space="preserve">* </t>
    </r>
    <r>
      <rPr>
        <sz val="13"/>
        <rFont val="돋움"/>
        <family val="3"/>
        <charset val="129"/>
      </rPr>
      <t>마포구</t>
    </r>
    <r>
      <rPr>
        <sz val="13"/>
        <rFont val="Arial Narrow"/>
        <family val="2"/>
      </rPr>
      <t xml:space="preserve"> APT </t>
    </r>
    <r>
      <rPr>
        <sz val="13"/>
        <rFont val="돋움"/>
        <family val="3"/>
        <charset val="129"/>
      </rPr>
      <t>전세가</t>
    </r>
    <r>
      <rPr>
        <sz val="13"/>
        <rFont val="Arial Narrow"/>
        <family val="2"/>
      </rPr>
      <t xml:space="preserve"> </t>
    </r>
    <r>
      <rPr>
        <sz val="13"/>
        <rFont val="돋움"/>
        <family val="3"/>
        <charset val="129"/>
      </rPr>
      <t>시세</t>
    </r>
    <r>
      <rPr>
        <sz val="13"/>
        <rFont val="Arial Narrow"/>
        <family val="2"/>
      </rPr>
      <t xml:space="preserve"> (KB</t>
    </r>
    <r>
      <rPr>
        <sz val="13"/>
        <rFont val="돋움"/>
        <family val="3"/>
        <charset val="129"/>
      </rPr>
      <t>부동산</t>
    </r>
    <r>
      <rPr>
        <sz val="13"/>
        <rFont val="Arial Narrow"/>
        <family val="2"/>
      </rPr>
      <t xml:space="preserve"> </t>
    </r>
    <r>
      <rPr>
        <sz val="13"/>
        <rFont val="돋움"/>
        <family val="3"/>
        <charset val="129"/>
      </rPr>
      <t>시세</t>
    </r>
    <r>
      <rPr>
        <sz val="13"/>
        <rFont val="Arial Narrow"/>
        <family val="2"/>
      </rPr>
      <t xml:space="preserve"> </t>
    </r>
    <r>
      <rPr>
        <sz val="13"/>
        <rFont val="돋움"/>
        <family val="3"/>
        <charset val="129"/>
      </rPr>
      <t>적용</t>
    </r>
    <r>
      <rPr>
        <sz val="13"/>
        <rFont val="Arial Narrow"/>
        <family val="2"/>
      </rPr>
      <t xml:space="preserve">, 2018-3-30 </t>
    </r>
    <r>
      <rPr>
        <sz val="13"/>
        <rFont val="돋움"/>
        <family val="3"/>
        <charset val="129"/>
      </rPr>
      <t>기준</t>
    </r>
    <r>
      <rPr>
        <sz val="13"/>
        <rFont val="Arial Narrow"/>
        <family val="2"/>
      </rPr>
      <t>)</t>
    </r>
    <phoneticPr fontId="8" type="noConversion"/>
  </si>
  <si>
    <r>
      <t xml:space="preserve">  - </t>
    </r>
    <r>
      <rPr>
        <sz val="13"/>
        <rFont val="돋움"/>
        <family val="3"/>
        <charset val="129"/>
      </rPr>
      <t>마포구</t>
    </r>
    <r>
      <rPr>
        <sz val="13"/>
        <rFont val="Arial Narrow"/>
        <family val="2"/>
      </rPr>
      <t xml:space="preserve"> : 4,800,000/</t>
    </r>
    <r>
      <rPr>
        <sz val="13"/>
        <rFont val="돋움"/>
        <family val="3"/>
        <charset val="129"/>
      </rPr>
      <t>㎡</t>
    </r>
    <phoneticPr fontId="8" type="noConversion"/>
  </si>
  <si>
    <r>
      <t xml:space="preserve">  - </t>
    </r>
    <r>
      <rPr>
        <sz val="13"/>
        <rFont val="돋움"/>
        <family val="3"/>
        <charset val="129"/>
      </rPr>
      <t>성산동</t>
    </r>
    <r>
      <rPr>
        <sz val="13"/>
        <rFont val="Arial Narrow"/>
        <family val="2"/>
      </rPr>
      <t xml:space="preserve"> : 3,580,000/</t>
    </r>
    <r>
      <rPr>
        <sz val="13"/>
        <rFont val="돋움"/>
        <family val="3"/>
        <charset val="129"/>
      </rPr>
      <t>㎡</t>
    </r>
    <phoneticPr fontId="8" type="noConversion"/>
  </si>
  <si>
    <r>
      <rPr>
        <b/>
        <sz val="13"/>
        <rFont val="돋움"/>
        <family val="3"/>
        <charset val="129"/>
      </rPr>
      <t>임대
보증금
비율</t>
    </r>
    <phoneticPr fontId="8" type="noConversion"/>
  </si>
  <si>
    <r>
      <rPr>
        <b/>
        <sz val="13"/>
        <rFont val="돋움"/>
        <family val="3"/>
        <charset val="129"/>
      </rPr>
      <t>입주률</t>
    </r>
    <phoneticPr fontId="8" type="noConversion"/>
  </si>
  <si>
    <r>
      <rPr>
        <b/>
        <sz val="13"/>
        <rFont val="돋움"/>
        <family val="3"/>
        <charset val="129"/>
      </rPr>
      <t>전월세
전환율</t>
    </r>
    <phoneticPr fontId="8" type="noConversion"/>
  </si>
  <si>
    <r>
      <t>100%</t>
    </r>
    <r>
      <rPr>
        <sz val="13"/>
        <rFont val="돋움"/>
        <family val="3"/>
        <charset val="129"/>
      </rPr>
      <t>적용</t>
    </r>
    <phoneticPr fontId="8" type="noConversion"/>
  </si>
  <si>
    <r>
      <t xml:space="preserve">2) </t>
    </r>
    <r>
      <rPr>
        <b/>
        <sz val="24"/>
        <rFont val="함초롬바탕"/>
        <family val="1"/>
        <charset val="129"/>
      </rPr>
      <t>임대료</t>
    </r>
    <r>
      <rPr>
        <b/>
        <sz val="24"/>
        <rFont val="Arial Narrow"/>
        <family val="2"/>
      </rPr>
      <t xml:space="preserve"> </t>
    </r>
    <r>
      <rPr>
        <b/>
        <sz val="24"/>
        <rFont val="함초롬바탕"/>
        <family val="1"/>
        <charset val="129"/>
      </rPr>
      <t>산정</t>
    </r>
    <phoneticPr fontId="8" type="noConversion"/>
  </si>
  <si>
    <r>
      <rPr>
        <b/>
        <sz val="16"/>
        <rFont val="돋움"/>
        <family val="3"/>
        <charset val="129"/>
      </rPr>
      <t>□</t>
    </r>
    <r>
      <rPr>
        <b/>
        <sz val="16"/>
        <rFont val="Arial Narrow"/>
        <family val="2"/>
      </rPr>
      <t xml:space="preserve"> </t>
    </r>
    <r>
      <rPr>
        <b/>
        <sz val="16"/>
        <rFont val="돋움"/>
        <family val="3"/>
        <charset val="129"/>
      </rPr>
      <t>월임대료</t>
    </r>
    <r>
      <rPr>
        <b/>
        <sz val="16"/>
        <rFont val="Arial Narrow"/>
        <family val="2"/>
      </rPr>
      <t xml:space="preserve"> </t>
    </r>
    <r>
      <rPr>
        <b/>
        <sz val="16"/>
        <rFont val="돋움"/>
        <family val="3"/>
        <charset val="129"/>
      </rPr>
      <t>산출</t>
    </r>
    <phoneticPr fontId="8" type="noConversion"/>
  </si>
  <si>
    <r>
      <rPr>
        <b/>
        <sz val="20"/>
        <rFont val="바탕"/>
        <family val="1"/>
        <charset val="129"/>
      </rPr>
      <t>□</t>
    </r>
    <r>
      <rPr>
        <b/>
        <sz val="20"/>
        <rFont val="돋움"/>
        <family val="3"/>
        <charset val="129"/>
      </rPr>
      <t xml:space="preserve"> 현금유입</t>
    </r>
    <phoneticPr fontId="8" type="noConversion"/>
  </si>
  <si>
    <r>
      <rPr>
        <b/>
        <sz val="20"/>
        <rFont val="바탕"/>
        <family val="1"/>
        <charset val="129"/>
      </rPr>
      <t>□</t>
    </r>
    <r>
      <rPr>
        <b/>
        <sz val="20"/>
        <rFont val="돋움"/>
        <family val="3"/>
        <charset val="129"/>
      </rPr>
      <t xml:space="preserve"> 현금유출</t>
    </r>
    <phoneticPr fontId="8" type="noConversion"/>
  </si>
  <si>
    <t>법정 주차 가능대수</t>
    <phoneticPr fontId="5" type="noConversion"/>
  </si>
  <si>
    <t>확보 주차대수</t>
    <phoneticPr fontId="5" type="noConversion"/>
  </si>
  <si>
    <t>매매가</t>
    <phoneticPr fontId="5" type="noConversion"/>
  </si>
  <si>
    <t>토지
매도희망가</t>
    <phoneticPr fontId="5" type="noConversion"/>
  </si>
  <si>
    <t>주택
매도희망가</t>
    <phoneticPr fontId="5" type="noConversion"/>
  </si>
  <si>
    <r>
      <rPr>
        <sz val="16"/>
        <rFont val="맑은 고딕"/>
        <family val="3"/>
        <charset val="129"/>
      </rPr>
      <t>㎡</t>
    </r>
    <r>
      <rPr>
        <sz val="16"/>
        <rFont val="돋움"/>
        <family val="3"/>
        <charset val="129"/>
      </rPr>
      <t xml:space="preserve"> 당 가격</t>
    </r>
    <phoneticPr fontId="5" type="noConversion"/>
  </si>
  <si>
    <t>감정평가</t>
    <phoneticPr fontId="5" type="noConversion"/>
  </si>
  <si>
    <t>토지
감평가</t>
    <phoneticPr fontId="5" type="noConversion"/>
  </si>
  <si>
    <t>주택
감평가</t>
    <phoneticPr fontId="5" type="noConversion"/>
  </si>
  <si>
    <t>[참고]
공시지가</t>
    <phoneticPr fontId="5" type="noConversion"/>
  </si>
  <si>
    <t>토지비 감정평가차액</t>
    <phoneticPr fontId="5" type="noConversion"/>
  </si>
  <si>
    <t>토목공사</t>
    <phoneticPr fontId="8" type="noConversion"/>
  </si>
  <si>
    <t>기계설비공사</t>
    <phoneticPr fontId="8" type="noConversion"/>
  </si>
  <si>
    <t>전기공사</t>
    <phoneticPr fontId="8" type="noConversion"/>
  </si>
  <si>
    <t>소방설비공사</t>
    <phoneticPr fontId="8" type="noConversion"/>
  </si>
  <si>
    <t>상하수도인입비</t>
    <phoneticPr fontId="5" type="noConversion"/>
  </si>
  <si>
    <t>한전인입비</t>
    <phoneticPr fontId="8" type="noConversion"/>
  </si>
  <si>
    <t>도시가스 시설분담금</t>
    <phoneticPr fontId="8" type="noConversion"/>
  </si>
  <si>
    <t>정보통신공사</t>
    <phoneticPr fontId="8" type="noConversion"/>
  </si>
  <si>
    <r>
      <t>(</t>
    </r>
    <r>
      <rPr>
        <sz val="12"/>
        <rFont val="돋움"/>
        <family val="3"/>
        <charset val="129"/>
      </rPr>
      <t>직접공사비</t>
    </r>
    <r>
      <rPr>
        <sz val="12"/>
        <rFont val="Arial Narrow"/>
        <family val="2"/>
      </rPr>
      <t>+</t>
    </r>
    <r>
      <rPr>
        <sz val="12"/>
        <rFont val="돋움"/>
        <family val="3"/>
        <charset val="129"/>
      </rPr>
      <t>설계감리비</t>
    </r>
    <r>
      <rPr>
        <sz val="12"/>
        <rFont val="Arial Narrow"/>
        <family val="2"/>
      </rPr>
      <t>)</t>
    </r>
    <r>
      <rPr>
        <sz val="12"/>
        <rFont val="돋움"/>
        <family val="3"/>
        <charset val="129"/>
      </rPr>
      <t>주택분</t>
    </r>
    <r>
      <rPr>
        <sz val="12"/>
        <rFont val="Arial Narrow"/>
        <family val="2"/>
      </rPr>
      <t>×(</t>
    </r>
    <r>
      <rPr>
        <sz val="12"/>
        <rFont val="돋움"/>
        <family val="3"/>
        <charset val="129"/>
      </rPr>
      <t>취득세</t>
    </r>
    <r>
      <rPr>
        <sz val="12"/>
        <rFont val="Arial Narrow"/>
        <family val="2"/>
      </rPr>
      <t>,</t>
    </r>
    <r>
      <rPr>
        <sz val="12"/>
        <rFont val="돋움"/>
        <family val="3"/>
        <charset val="129"/>
      </rPr>
      <t>교육세</t>
    </r>
    <r>
      <rPr>
        <sz val="12"/>
        <rFont val="Arial Narrow"/>
        <family val="2"/>
      </rPr>
      <t xml:space="preserve"> 2.96%+</t>
    </r>
    <r>
      <rPr>
        <sz val="12"/>
        <rFont val="돋움"/>
        <family val="3"/>
        <charset val="129"/>
      </rPr>
      <t>법무수수료</t>
    </r>
    <r>
      <rPr>
        <sz val="12"/>
        <rFont val="Arial Narrow"/>
        <family val="2"/>
      </rPr>
      <t xml:space="preserve"> 0.2%) / </t>
    </r>
    <r>
      <rPr>
        <sz val="12"/>
        <rFont val="돋움"/>
        <family val="3"/>
        <charset val="129"/>
      </rPr>
      <t>감면</t>
    </r>
    <r>
      <rPr>
        <sz val="12"/>
        <rFont val="Arial Narrow"/>
        <family val="2"/>
      </rPr>
      <t xml:space="preserve">('18.12.31 </t>
    </r>
    <r>
      <rPr>
        <sz val="12"/>
        <rFont val="돋움"/>
        <family val="3"/>
        <charset val="129"/>
      </rPr>
      <t>한시</t>
    </r>
    <r>
      <rPr>
        <sz val="12"/>
        <rFont val="Arial Narrow"/>
        <family val="2"/>
      </rPr>
      <t xml:space="preserve">) </t>
    </r>
    <r>
      <rPr>
        <sz val="12"/>
        <rFont val="돋움"/>
        <family val="3"/>
        <charset val="129"/>
      </rPr>
      <t>미적용</t>
    </r>
    <phoneticPr fontId="5" type="noConversion"/>
  </si>
  <si>
    <r>
      <rPr>
        <sz val="12"/>
        <rFont val="돋움"/>
        <family val="3"/>
        <charset val="129"/>
      </rPr>
      <t>토지매매평가차액</t>
    </r>
    <phoneticPr fontId="8" type="noConversion"/>
  </si>
  <si>
    <r>
      <rPr>
        <sz val="12"/>
        <rFont val="돋움"/>
        <family val="3"/>
        <charset val="129"/>
      </rPr>
      <t>취득세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거래</t>
    </r>
    <r>
      <rPr>
        <sz val="12"/>
        <rFont val="Arial Narrow"/>
        <family val="2"/>
      </rPr>
      <t>·</t>
    </r>
    <r>
      <rPr>
        <sz val="12"/>
        <rFont val="돋움"/>
        <family val="3"/>
        <charset val="129"/>
      </rPr>
      <t>등기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수수료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근생분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중과</t>
    </r>
    <phoneticPr fontId="8" type="noConversion"/>
  </si>
  <si>
    <r>
      <rPr>
        <sz val="12"/>
        <rFont val="돋움"/>
        <family val="3"/>
        <charset val="129"/>
      </rPr>
      <t>연면적</t>
    </r>
    <phoneticPr fontId="8" type="noConversion"/>
  </si>
  <si>
    <r>
      <rPr>
        <sz val="12"/>
        <rFont val="돋움"/>
        <family val="3"/>
        <charset val="129"/>
      </rPr>
      <t>연면적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이외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추가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사업면적</t>
    </r>
    <phoneticPr fontId="5" type="noConversion"/>
  </si>
  <si>
    <r>
      <rPr>
        <sz val="12"/>
        <rFont val="돋움"/>
        <family val="3"/>
        <charset val="129"/>
      </rPr>
      <t>지반조사</t>
    </r>
    <r>
      <rPr>
        <sz val="12"/>
        <rFont val="Arial Narrow"/>
        <family val="2"/>
      </rPr>
      <t>(NX)</t>
    </r>
    <phoneticPr fontId="5" type="noConversion"/>
  </si>
  <si>
    <r>
      <rPr>
        <sz val="12"/>
        <rFont val="돋움"/>
        <family val="3"/>
        <charset val="129"/>
      </rPr>
      <t>경계복원</t>
    </r>
    <r>
      <rPr>
        <sz val="12"/>
        <rFont val="Arial Narrow"/>
        <family val="2"/>
      </rPr>
      <t xml:space="preserve"> 1</t>
    </r>
    <r>
      <rPr>
        <sz val="12"/>
        <rFont val="돋움"/>
        <family val="3"/>
        <charset val="129"/>
      </rPr>
      <t>회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건축물현황</t>
    </r>
    <r>
      <rPr>
        <sz val="12"/>
        <rFont val="Arial Narrow"/>
        <family val="2"/>
      </rPr>
      <t xml:space="preserve"> 1</t>
    </r>
    <r>
      <rPr>
        <sz val="12"/>
        <rFont val="돋움"/>
        <family val="3"/>
        <charset val="129"/>
      </rPr>
      <t>회</t>
    </r>
    <phoneticPr fontId="8" type="noConversion"/>
  </si>
  <si>
    <r>
      <rPr>
        <sz val="12"/>
        <rFont val="돋움"/>
        <family val="3"/>
        <charset val="129"/>
      </rPr>
      <t>기존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건물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면적</t>
    </r>
    <r>
      <rPr>
        <sz val="12"/>
        <rFont val="Arial Narrow"/>
        <family val="2"/>
      </rPr>
      <t>×</t>
    </r>
    <r>
      <rPr>
        <sz val="12"/>
        <rFont val="돋움"/>
        <family val="3"/>
        <charset val="129"/>
      </rPr>
      <t>단위비용</t>
    </r>
    <phoneticPr fontId="8" type="noConversion"/>
  </si>
  <si>
    <r>
      <rPr>
        <sz val="12"/>
        <rFont val="돋움"/>
        <family val="3"/>
        <charset val="129"/>
      </rPr>
      <t>신축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건물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연면적</t>
    </r>
    <r>
      <rPr>
        <sz val="12"/>
        <rFont val="Arial Narrow"/>
        <family val="2"/>
      </rPr>
      <t>×</t>
    </r>
    <r>
      <rPr>
        <sz val="12"/>
        <rFont val="돋움"/>
        <family val="3"/>
        <charset val="129"/>
      </rPr>
      <t>단위비용</t>
    </r>
    <phoneticPr fontId="8" type="noConversion"/>
  </si>
  <si>
    <r>
      <rPr>
        <sz val="12"/>
        <rFont val="돋움"/>
        <family val="3"/>
        <charset val="129"/>
      </rPr>
      <t>정액공사비</t>
    </r>
    <r>
      <rPr>
        <sz val="12"/>
        <rFont val="Arial Narrow"/>
        <family val="2"/>
      </rPr>
      <t>+</t>
    </r>
    <r>
      <rPr>
        <sz val="12"/>
        <rFont val="돋움"/>
        <family val="3"/>
        <charset val="129"/>
      </rPr>
      <t>원인자부담금</t>
    </r>
    <r>
      <rPr>
        <sz val="12"/>
        <rFont val="Arial Narrow"/>
        <family val="2"/>
      </rPr>
      <t xml:space="preserve">, 13mm </t>
    </r>
    <r>
      <rPr>
        <sz val="12"/>
        <rFont val="돋움"/>
        <family val="3"/>
        <charset val="129"/>
      </rPr>
      <t>계량기</t>
    </r>
    <r>
      <rPr>
        <sz val="12"/>
        <rFont val="Arial Narrow"/>
        <family val="2"/>
      </rPr>
      <t xml:space="preserve"> 12</t>
    </r>
    <r>
      <rPr>
        <sz val="12"/>
        <rFont val="돋움"/>
        <family val="3"/>
        <charset val="129"/>
      </rPr>
      <t>개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기준</t>
    </r>
    <phoneticPr fontId="5" type="noConversion"/>
  </si>
  <si>
    <r>
      <rPr>
        <sz val="12"/>
        <rFont val="돋움"/>
        <family val="3"/>
        <charset val="129"/>
      </rPr>
      <t>공중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저압</t>
    </r>
    <r>
      <rPr>
        <sz val="12"/>
        <rFont val="Arial Narrow"/>
        <family val="2"/>
      </rPr>
      <t>(5kw)</t>
    </r>
    <r>
      <rPr>
        <sz val="12"/>
        <rFont val="돋움"/>
        <family val="3"/>
        <charset val="129"/>
      </rPr>
      <t>인입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계량기</t>
    </r>
    <r>
      <rPr>
        <sz val="12"/>
        <rFont val="Arial Narrow"/>
        <family val="2"/>
      </rPr>
      <t xml:space="preserve"> 12</t>
    </r>
    <r>
      <rPr>
        <sz val="12"/>
        <rFont val="돋움"/>
        <family val="3"/>
        <charset val="129"/>
      </rPr>
      <t>개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기준</t>
    </r>
    <phoneticPr fontId="8" type="noConversion"/>
  </si>
  <si>
    <r>
      <rPr>
        <sz val="12"/>
        <rFont val="돋움"/>
        <family val="3"/>
        <charset val="129"/>
      </rPr>
      <t>건축공사</t>
    </r>
    <r>
      <rPr>
        <sz val="12"/>
        <rFont val="Arial Narrow"/>
        <family val="2"/>
      </rPr>
      <t>1×1%</t>
    </r>
    <phoneticPr fontId="5" type="noConversion"/>
  </si>
  <si>
    <r>
      <rPr>
        <sz val="12"/>
        <rFont val="돋움"/>
        <family val="3"/>
        <charset val="129"/>
      </rPr>
      <t>입주민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모집</t>
    </r>
    <phoneticPr fontId="5" type="noConversion"/>
  </si>
  <si>
    <r>
      <rPr>
        <sz val="12"/>
        <rFont val="돋움"/>
        <family val="3"/>
        <charset val="129"/>
      </rPr>
      <t>조감도</t>
    </r>
    <r>
      <rPr>
        <sz val="12"/>
        <rFont val="Arial Narrow"/>
        <family val="2"/>
      </rPr>
      <t>,</t>
    </r>
    <r>
      <rPr>
        <sz val="12"/>
        <rFont val="돋움"/>
        <family val="3"/>
        <charset val="129"/>
      </rPr>
      <t>모형도</t>
    </r>
    <r>
      <rPr>
        <sz val="12"/>
        <rFont val="Arial Narrow"/>
        <family val="2"/>
      </rPr>
      <t>,SIGN</t>
    </r>
    <r>
      <rPr>
        <sz val="12"/>
        <rFont val="돋움"/>
        <family val="3"/>
        <charset val="129"/>
      </rPr>
      <t>물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포함</t>
    </r>
    <phoneticPr fontId="5" type="noConversion"/>
  </si>
  <si>
    <r>
      <rPr>
        <sz val="12"/>
        <rFont val="돋움"/>
        <family val="3"/>
        <charset val="129"/>
      </rPr>
      <t>공사비</t>
    </r>
    <r>
      <rPr>
        <sz val="12"/>
        <rFont val="Arial Narrow"/>
        <family val="2"/>
      </rPr>
      <t>×1%</t>
    </r>
    <phoneticPr fontId="5" type="noConversion"/>
  </si>
  <si>
    <r>
      <rPr>
        <sz val="12"/>
        <rFont val="돋움"/>
        <family val="3"/>
        <charset val="129"/>
      </rPr>
      <t>계획</t>
    </r>
    <r>
      <rPr>
        <sz val="12"/>
        <rFont val="Arial Narrow"/>
        <family val="2"/>
      </rPr>
      <t>~</t>
    </r>
    <r>
      <rPr>
        <sz val="12"/>
        <rFont val="돋움"/>
        <family val="3"/>
        <charset val="129"/>
      </rPr>
      <t>입주전까지</t>
    </r>
    <phoneticPr fontId="5" type="noConversion"/>
  </si>
  <si>
    <r>
      <rPr>
        <sz val="12"/>
        <rFont val="돋움"/>
        <family val="3"/>
        <charset val="129"/>
      </rPr>
      <t>건축허가</t>
    </r>
    <r>
      <rPr>
        <sz val="12"/>
        <rFont val="Arial Narrow"/>
        <family val="2"/>
      </rPr>
      <t>/</t>
    </r>
    <r>
      <rPr>
        <sz val="12"/>
        <rFont val="돋움"/>
        <family val="3"/>
        <charset val="129"/>
      </rPr>
      <t>준공허가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등록면허세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등</t>
    </r>
    <phoneticPr fontId="8" type="noConversion"/>
  </si>
  <si>
    <r>
      <rPr>
        <sz val="12"/>
        <rFont val="돋움"/>
        <family val="3"/>
        <charset val="129"/>
      </rPr>
      <t>건축허가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시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주거면적</t>
    </r>
    <r>
      <rPr>
        <sz val="12"/>
        <rFont val="Arial Narrow"/>
        <family val="2"/>
      </rPr>
      <t>×17,000</t>
    </r>
    <r>
      <rPr>
        <sz val="12"/>
        <rFont val="돋움"/>
        <family val="3"/>
        <charset val="129"/>
      </rPr>
      <t>원</t>
    </r>
    <r>
      <rPr>
        <sz val="12"/>
        <rFont val="Arial Narrow"/>
        <family val="2"/>
      </rPr>
      <t>/</t>
    </r>
    <r>
      <rPr>
        <sz val="12"/>
        <rFont val="돋움"/>
        <family val="3"/>
        <charset val="129"/>
      </rPr>
      <t>㎡</t>
    </r>
    <r>
      <rPr>
        <sz val="12"/>
        <rFont val="Arial Narrow"/>
        <family val="2"/>
      </rPr>
      <t xml:space="preserve">, </t>
    </r>
    <r>
      <rPr>
        <sz val="12"/>
        <rFont val="돋움"/>
        <family val="3"/>
        <charset val="129"/>
      </rPr>
      <t>주거외면적</t>
    </r>
    <r>
      <rPr>
        <sz val="12"/>
        <rFont val="Arial Narrow"/>
        <family val="2"/>
      </rPr>
      <t>×1,300</t>
    </r>
    <r>
      <rPr>
        <sz val="12"/>
        <rFont val="돋움"/>
        <family val="3"/>
        <charset val="129"/>
      </rPr>
      <t>원</t>
    </r>
    <r>
      <rPr>
        <sz val="12"/>
        <rFont val="Arial Narrow"/>
        <family val="2"/>
      </rPr>
      <t>/</t>
    </r>
    <r>
      <rPr>
        <sz val="12"/>
        <rFont val="돋움"/>
        <family val="3"/>
        <charset val="129"/>
      </rPr>
      <t>㎡</t>
    </r>
    <phoneticPr fontId="5" type="noConversion"/>
  </si>
  <si>
    <r>
      <t>(</t>
    </r>
    <r>
      <rPr>
        <sz val="12"/>
        <rFont val="돋움"/>
        <family val="3"/>
        <charset val="129"/>
      </rPr>
      <t>직접공사비</t>
    </r>
    <r>
      <rPr>
        <sz val="12"/>
        <rFont val="Arial Narrow"/>
        <family val="2"/>
      </rPr>
      <t>+</t>
    </r>
    <r>
      <rPr>
        <sz val="12"/>
        <rFont val="돋움"/>
        <family val="3"/>
        <charset val="129"/>
      </rPr>
      <t>설계감리비</t>
    </r>
    <r>
      <rPr>
        <sz val="12"/>
        <rFont val="Arial Narrow"/>
        <family val="2"/>
      </rPr>
      <t>)</t>
    </r>
    <r>
      <rPr>
        <sz val="12"/>
        <rFont val="돋움"/>
        <family val="3"/>
        <charset val="129"/>
      </rPr>
      <t>근생분</t>
    </r>
    <r>
      <rPr>
        <sz val="12"/>
        <rFont val="Arial Narrow"/>
        <family val="2"/>
      </rPr>
      <t>×(</t>
    </r>
    <r>
      <rPr>
        <sz val="12"/>
        <rFont val="돋움"/>
        <family val="3"/>
        <charset val="129"/>
      </rPr>
      <t>취득세</t>
    </r>
    <r>
      <rPr>
        <sz val="12"/>
        <rFont val="Arial Narrow"/>
        <family val="2"/>
      </rPr>
      <t>,</t>
    </r>
    <r>
      <rPr>
        <sz val="12"/>
        <rFont val="돋움"/>
        <family val="3"/>
        <charset val="129"/>
      </rPr>
      <t>교육세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중과</t>
    </r>
    <r>
      <rPr>
        <sz val="12"/>
        <rFont val="Arial Narrow"/>
        <family val="2"/>
      </rPr>
      <t xml:space="preserve"> 6.8%)</t>
    </r>
    <phoneticPr fontId="5" type="noConversion"/>
  </si>
  <si>
    <r>
      <rPr>
        <sz val="12"/>
        <rFont val="돋움"/>
        <family val="3"/>
        <charset val="129"/>
      </rPr>
      <t>공사비</t>
    </r>
    <r>
      <rPr>
        <sz val="12"/>
        <rFont val="Arial Narrow"/>
        <family val="2"/>
      </rPr>
      <t>×2%</t>
    </r>
    <phoneticPr fontId="5" type="noConversion"/>
  </si>
  <si>
    <t>임대보증금보증 보증료</t>
    <phoneticPr fontId="8" type="noConversion"/>
  </si>
  <si>
    <t>부대비</t>
    <phoneticPr fontId="8" type="noConversion"/>
  </si>
  <si>
    <t>금융비</t>
    <phoneticPr fontId="5" type="noConversion"/>
  </si>
  <si>
    <t>금융이자비용</t>
    <phoneticPr fontId="5" type="noConversion"/>
  </si>
  <si>
    <t>건물비, 토지비 소계</t>
    <phoneticPr fontId="5" type="noConversion"/>
  </si>
  <si>
    <t>건축비 소계</t>
    <phoneticPr fontId="5" type="noConversion"/>
  </si>
  <si>
    <r>
      <rPr>
        <sz val="12"/>
        <rFont val="돋움"/>
        <family val="3"/>
        <charset val="129"/>
      </rPr>
      <t>초기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대출금의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월이자비용에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공사기간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개월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수</t>
    </r>
    <r>
      <rPr>
        <sz val="12"/>
        <rFont val="Arial Narrow"/>
        <family val="2"/>
      </rPr>
      <t xml:space="preserve"> </t>
    </r>
    <r>
      <rPr>
        <sz val="12"/>
        <rFont val="돋움"/>
        <family val="3"/>
        <charset val="129"/>
      </rPr>
      <t>곱하기</t>
    </r>
    <phoneticPr fontId="5" type="noConversion"/>
  </si>
  <si>
    <t>□ 초기투자사업비 (0년차)</t>
    <phoneticPr fontId="8" type="noConversion"/>
  </si>
  <si>
    <t>초기투자사업비  합계</t>
    <phoneticPr fontId="8" type="noConversion"/>
  </si>
  <si>
    <t>(금융비융, 초년도 재산세 포함)</t>
    <phoneticPr fontId="8" type="noConversion"/>
  </si>
  <si>
    <r>
      <t>(</t>
    </r>
    <r>
      <rPr>
        <b/>
        <sz val="12"/>
        <color indexed="62"/>
        <rFont val="돋움"/>
        <family val="3"/>
        <charset val="129"/>
      </rPr>
      <t>금융비용</t>
    </r>
    <r>
      <rPr>
        <b/>
        <sz val="12"/>
        <color indexed="62"/>
        <rFont val="Arial Narrow"/>
        <family val="2"/>
      </rPr>
      <t xml:space="preserve">, </t>
    </r>
    <r>
      <rPr>
        <b/>
        <sz val="12"/>
        <color indexed="62"/>
        <rFont val="돋움"/>
        <family val="3"/>
        <charset val="129"/>
      </rPr>
      <t>초년도</t>
    </r>
    <r>
      <rPr>
        <b/>
        <sz val="12"/>
        <color indexed="62"/>
        <rFont val="Arial Narrow"/>
        <family val="2"/>
      </rPr>
      <t xml:space="preserve"> </t>
    </r>
    <r>
      <rPr>
        <b/>
        <sz val="12"/>
        <color indexed="62"/>
        <rFont val="돋움"/>
        <family val="3"/>
        <charset val="129"/>
      </rPr>
      <t>재산세</t>
    </r>
    <r>
      <rPr>
        <b/>
        <sz val="12"/>
        <color indexed="62"/>
        <rFont val="Arial Narrow"/>
        <family val="2"/>
      </rPr>
      <t xml:space="preserve"> </t>
    </r>
    <r>
      <rPr>
        <b/>
        <sz val="12"/>
        <color indexed="62"/>
        <rFont val="돋움"/>
        <family val="3"/>
        <charset val="129"/>
      </rPr>
      <t>제외</t>
    </r>
    <r>
      <rPr>
        <b/>
        <sz val="12"/>
        <color indexed="62"/>
        <rFont val="Arial Narrow"/>
        <family val="2"/>
      </rPr>
      <t>)</t>
    </r>
    <phoneticPr fontId="5" type="noConversion"/>
  </si>
  <si>
    <r>
      <rPr>
        <sz val="14"/>
        <color theme="1"/>
        <rFont val="바탕"/>
        <family val="1"/>
        <charset val="129"/>
      </rPr>
      <t>과세표준</t>
    </r>
    <r>
      <rPr>
        <sz val="14"/>
        <color theme="1"/>
        <rFont val="Arial Narrow"/>
        <family val="2"/>
      </rPr>
      <t>(</t>
    </r>
    <r>
      <rPr>
        <sz val="14"/>
        <color theme="1"/>
        <rFont val="바탕"/>
        <family val="1"/>
        <charset val="129"/>
      </rPr>
      <t>주택공시가격</t>
    </r>
    <r>
      <rPr>
        <sz val="14"/>
        <color theme="1"/>
        <rFont val="Arial Narrow"/>
        <family val="2"/>
      </rPr>
      <t>*60%)*</t>
    </r>
    <r>
      <rPr>
        <sz val="14"/>
        <color theme="1"/>
        <rFont val="바탕"/>
        <family val="1"/>
        <charset val="129"/>
      </rPr>
      <t>세율</t>
    </r>
    <phoneticPr fontId="8" type="noConversion"/>
  </si>
  <si>
    <t>□ 유지관리비 (1년차)  *2년차부터 40년차는 각 항목별 적용 상승률 반영</t>
    <phoneticPr fontId="8" type="noConversion"/>
  </si>
  <si>
    <t>토지임대료</t>
    <phoneticPr fontId="8" type="noConversion"/>
  </si>
  <si>
    <t>연간토지임대료</t>
    <phoneticPr fontId="8" type="noConversion"/>
  </si>
  <si>
    <t>임대보증금 증액</t>
    <phoneticPr fontId="8" type="noConversion"/>
  </si>
  <si>
    <r>
      <t>(</t>
    </r>
    <r>
      <rPr>
        <sz val="13"/>
        <rFont val="돋움"/>
        <family val="3"/>
        <charset val="129"/>
      </rPr>
      <t>예시</t>
    </r>
    <r>
      <rPr>
        <sz val="13"/>
        <rFont val="Arial Narrow"/>
        <family val="2"/>
      </rPr>
      <t>)</t>
    </r>
    <phoneticPr fontId="8" type="noConversion"/>
  </si>
  <si>
    <r>
      <t>*</t>
    </r>
    <r>
      <rPr>
        <sz val="13"/>
        <color rgb="FFFF0000"/>
        <rFont val="돋움"/>
        <family val="3"/>
        <charset val="129"/>
      </rPr>
      <t>한국감정원</t>
    </r>
    <r>
      <rPr>
        <sz val="13"/>
        <color rgb="FFFF0000"/>
        <rFont val="Arial Narrow"/>
        <family val="2"/>
      </rPr>
      <t xml:space="preserve"> </t>
    </r>
    <r>
      <rPr>
        <sz val="13"/>
        <color rgb="FFFF0000"/>
        <rFont val="돋움"/>
        <family val="3"/>
        <charset val="129"/>
      </rPr>
      <t>해당자치구</t>
    </r>
    <r>
      <rPr>
        <sz val="13"/>
        <color rgb="FFFF0000"/>
        <rFont val="Arial Narrow"/>
        <family val="2"/>
      </rPr>
      <t xml:space="preserve"> </t>
    </r>
    <r>
      <rPr>
        <sz val="13"/>
        <color rgb="FFFF0000"/>
        <rFont val="돋움"/>
        <family val="3"/>
        <charset val="129"/>
      </rPr>
      <t>전환율</t>
    </r>
    <r>
      <rPr>
        <sz val="13"/>
        <color rgb="FFFF0000"/>
        <rFont val="Arial Narrow"/>
        <family val="2"/>
      </rPr>
      <t xml:space="preserve"> </t>
    </r>
    <r>
      <rPr>
        <sz val="13"/>
        <color rgb="FFFF0000"/>
        <rFont val="돋움"/>
        <family val="3"/>
        <charset val="129"/>
      </rPr>
      <t>입력</t>
    </r>
    <phoneticPr fontId="8" type="noConversion"/>
  </si>
  <si>
    <r>
      <t xml:space="preserve"> '19</t>
    </r>
    <r>
      <rPr>
        <sz val="10"/>
        <rFont val="돋움"/>
        <family val="3"/>
        <charset val="129"/>
      </rPr>
      <t>년</t>
    </r>
    <r>
      <rPr>
        <sz val="10"/>
        <rFont val="Arial Narrow"/>
        <family val="2"/>
      </rPr>
      <t xml:space="preserve"> 5</t>
    </r>
    <r>
      <rPr>
        <sz val="10"/>
        <rFont val="돋움"/>
        <family val="3"/>
        <charset val="129"/>
      </rPr>
      <t>月</t>
    </r>
    <r>
      <rPr>
        <sz val="10"/>
        <rFont val="Arial Narrow"/>
        <family val="2"/>
      </rPr>
      <t xml:space="preserve"> - 12</t>
    </r>
    <r>
      <rPr>
        <sz val="10"/>
        <rFont val="돋움"/>
        <family val="3"/>
        <charset val="129"/>
      </rPr>
      <t>月</t>
    </r>
    <phoneticPr fontId="8" type="noConversion"/>
  </si>
  <si>
    <t>토지임차
보증금 환급</t>
    <phoneticPr fontId="8" type="noConversion"/>
  </si>
  <si>
    <r>
      <t>19</t>
    </r>
    <r>
      <rPr>
        <sz val="12"/>
        <rFont val="돋움"/>
        <family val="3"/>
        <charset val="129"/>
      </rPr>
      <t>년</t>
    </r>
    <r>
      <rPr>
        <sz val="12"/>
        <rFont val="Arial Narrow"/>
        <family val="2"/>
      </rPr>
      <t xml:space="preserve"> 5</t>
    </r>
    <r>
      <rPr>
        <sz val="12"/>
        <rFont val="돋움"/>
        <family val="3"/>
        <charset val="129"/>
      </rPr>
      <t>月</t>
    </r>
    <r>
      <rPr>
        <sz val="12"/>
        <rFont val="Arial Narrow"/>
        <family val="2"/>
      </rPr>
      <t xml:space="preserve"> - 12</t>
    </r>
    <r>
      <rPr>
        <sz val="12"/>
        <rFont val="돋움"/>
        <family val="3"/>
        <charset val="129"/>
      </rPr>
      <t>月</t>
    </r>
    <phoneticPr fontId="8" type="noConversion"/>
  </si>
  <si>
    <t>EBITDA</t>
    <phoneticPr fontId="8" type="noConversion"/>
  </si>
  <si>
    <t>유지비용</t>
    <phoneticPr fontId="8" type="noConversion"/>
  </si>
  <si>
    <r>
      <t>재산세</t>
    </r>
    <r>
      <rPr>
        <sz val="14"/>
        <rFont val="Arial Narrow"/>
        <family val="2"/>
      </rPr>
      <t/>
    </r>
    <phoneticPr fontId="8" type="noConversion"/>
  </si>
  <si>
    <t>세입자임대보증금환급</t>
    <phoneticPr fontId="8" type="noConversion"/>
  </si>
  <si>
    <t>토지임차보증금증액분</t>
    <phoneticPr fontId="8" type="noConversion"/>
  </si>
  <si>
    <r>
      <t>0</t>
    </r>
    <r>
      <rPr>
        <sz val="8"/>
        <rFont val="돋움"/>
        <family val="3"/>
        <charset val="129"/>
      </rPr>
      <t>년차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건축사업비에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포함됨</t>
    </r>
    <phoneticPr fontId="8" type="noConversion"/>
  </si>
  <si>
    <r>
      <rPr>
        <sz val="12"/>
        <color rgb="FFFF0000"/>
        <rFont val="돋움"/>
        <family val="3"/>
        <charset val="129"/>
      </rPr>
      <t>토지임차료</t>
    </r>
    <r>
      <rPr>
        <sz val="12"/>
        <color rgb="FFFF0000"/>
        <rFont val="Arial Narrow"/>
        <family val="2"/>
      </rPr>
      <t>2</t>
    </r>
    <r>
      <rPr>
        <sz val="12"/>
        <color rgb="FFFF0000"/>
        <rFont val="돋움"/>
        <family val="3"/>
        <charset val="129"/>
      </rPr>
      <t>년분</t>
    </r>
    <phoneticPr fontId="8" type="noConversion"/>
  </si>
  <si>
    <t>최초 정해진 금액에서 인상 없음</t>
    <phoneticPr fontId="8" type="noConversion"/>
  </si>
  <si>
    <r>
      <rPr>
        <sz val="14"/>
        <color rgb="FFFF0000"/>
        <rFont val="돋움"/>
        <family val="3"/>
        <charset val="129"/>
      </rPr>
      <t>공사기간</t>
    </r>
    <r>
      <rPr>
        <sz val="14"/>
        <color rgb="FFFF0000"/>
        <rFont val="Arial Narrow"/>
        <family val="2"/>
      </rPr>
      <t>, 2.0%</t>
    </r>
    <phoneticPr fontId="8" type="noConversion"/>
  </si>
  <si>
    <r>
      <t>2</t>
    </r>
    <r>
      <rPr>
        <sz val="14"/>
        <color rgb="FFFF0000"/>
        <rFont val="돋움"/>
        <family val="3"/>
        <charset val="129"/>
      </rPr>
      <t>년</t>
    </r>
    <r>
      <rPr>
        <sz val="14"/>
        <color rgb="FFFF0000"/>
        <rFont val="Arial Narrow"/>
        <family val="2"/>
      </rPr>
      <t>, 2.0%</t>
    </r>
    <phoneticPr fontId="8" type="noConversion"/>
  </si>
  <si>
    <r>
      <rPr>
        <sz val="14"/>
        <color rgb="FFFF0000"/>
        <rFont val="돋움"/>
        <family val="3"/>
        <charset val="129"/>
      </rPr>
      <t>토지임차료</t>
    </r>
    <r>
      <rPr>
        <sz val="14"/>
        <color rgb="FFFF0000"/>
        <rFont val="Arial Narrow"/>
        <family val="2"/>
      </rPr>
      <t>2</t>
    </r>
    <r>
      <rPr>
        <sz val="14"/>
        <color rgb="FFFF0000"/>
        <rFont val="돋움"/>
        <family val="3"/>
        <charset val="129"/>
      </rPr>
      <t>년분</t>
    </r>
    <phoneticPr fontId="8" type="noConversion"/>
  </si>
  <si>
    <r>
      <rPr>
        <sz val="14"/>
        <color rgb="FFFF0000"/>
        <rFont val="돋움"/>
        <family val="3"/>
        <charset val="129"/>
      </rPr>
      <t>공시기간</t>
    </r>
    <r>
      <rPr>
        <sz val="14"/>
        <color rgb="FFFF0000"/>
        <rFont val="Arial Narrow"/>
        <family val="2"/>
      </rPr>
      <t xml:space="preserve"> </t>
    </r>
    <r>
      <rPr>
        <sz val="14"/>
        <color rgb="FFFF0000"/>
        <rFont val="돋움"/>
        <family val="3"/>
        <charset val="129"/>
      </rPr>
      <t>개월</t>
    </r>
    <r>
      <rPr>
        <sz val="14"/>
        <color rgb="FFFF0000"/>
        <rFont val="Arial Narrow"/>
        <family val="2"/>
      </rPr>
      <t xml:space="preserve"> </t>
    </r>
    <r>
      <rPr>
        <sz val="14"/>
        <color rgb="FFFF0000"/>
        <rFont val="돋움"/>
        <family val="3"/>
        <charset val="129"/>
      </rPr>
      <t>수</t>
    </r>
    <r>
      <rPr>
        <sz val="14"/>
        <color rgb="FFFF0000"/>
        <rFont val="Arial Narrow"/>
        <family val="2"/>
      </rPr>
      <t xml:space="preserve"> </t>
    </r>
    <r>
      <rPr>
        <sz val="14"/>
        <color rgb="FFFF0000"/>
        <rFont val="돋움"/>
        <family val="3"/>
        <charset val="129"/>
      </rPr>
      <t>반영</t>
    </r>
    <r>
      <rPr>
        <sz val="14"/>
        <color rgb="FFFF0000"/>
        <rFont val="Arial Narrow"/>
        <family val="2"/>
      </rPr>
      <t xml:space="preserve"> / </t>
    </r>
    <r>
      <rPr>
        <sz val="14"/>
        <color rgb="FFFF0000"/>
        <rFont val="돋움"/>
        <family val="3"/>
        <charset val="129"/>
      </rPr>
      <t>부가세포함</t>
    </r>
    <r>
      <rPr>
        <sz val="14"/>
        <color rgb="FFFF0000"/>
        <rFont val="Arial Narrow"/>
        <family val="2"/>
      </rPr>
      <t xml:space="preserve"> / </t>
    </r>
    <r>
      <rPr>
        <sz val="14"/>
        <color rgb="FFFF0000"/>
        <rFont val="돋움"/>
        <family val="3"/>
        <charset val="129"/>
      </rPr>
      <t>이후</t>
    </r>
    <r>
      <rPr>
        <sz val="14"/>
        <color rgb="FFFF0000"/>
        <rFont val="Arial Narrow"/>
        <family val="2"/>
      </rPr>
      <t xml:space="preserve"> </t>
    </r>
    <r>
      <rPr>
        <sz val="14"/>
        <color rgb="FFFF0000"/>
        <rFont val="돋움"/>
        <family val="3"/>
        <charset val="129"/>
      </rPr>
      <t>인상</t>
    </r>
    <r>
      <rPr>
        <sz val="14"/>
        <color rgb="FFFF0000"/>
        <rFont val="Arial Narrow"/>
        <family val="2"/>
      </rPr>
      <t xml:space="preserve"> </t>
    </r>
    <r>
      <rPr>
        <sz val="14"/>
        <color rgb="FFFF0000"/>
        <rFont val="돋움"/>
        <family val="3"/>
        <charset val="129"/>
      </rPr>
      <t>없음</t>
    </r>
    <phoneticPr fontId="8" type="noConversion"/>
  </si>
  <si>
    <t xml:space="preserve">
 - 서울토지지원리츠 토지임대부 사회주택 -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</si>
</sst>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(1안)&quot;"/>
    <numFmt numFmtId="177" formatCode="#,##0\ &quot;원/㎡&quot;"/>
    <numFmt numFmtId="178" formatCode="#,###&quot;식&quot;"/>
    <numFmt numFmtId="179" formatCode="0.0%"/>
    <numFmt numFmtId="180" formatCode="#,##0\ &quot;원&quot;"/>
    <numFmt numFmtId="181" formatCode="&quot;지상&quot;\ #,###\ &quot;층&quot;"/>
    <numFmt numFmtId="182" formatCode="#,##0.00&quot;㎡&quot;"/>
    <numFmt numFmtId="183" formatCode="_-* #,##0.00_-;\-* #,##0.00_-;_-* &quot;-&quot;_-;_-@_-"/>
    <numFmt numFmtId="184" formatCode="#,##0.00\ &quot;㎡&quot;"/>
    <numFmt numFmtId="185" formatCode="\(#,##0.00&quot;평&quot;\)"/>
    <numFmt numFmtId="186" formatCode="#,###&quot;원&quot;"/>
    <numFmt numFmtId="187" formatCode="\(#,##0&quot;평&quot;\)"/>
    <numFmt numFmtId="188" formatCode="0&quot;대&quot;"/>
    <numFmt numFmtId="189" formatCode="0&quot;세대&quot;"/>
    <numFmt numFmtId="190" formatCode="#,###&quot;개월&quot;"/>
    <numFmt numFmtId="191" formatCode="0&quot;개월/1인&quot;"/>
    <numFmt numFmtId="192" formatCode="#,##0&quot;원/세대&quot;"/>
    <numFmt numFmtId="193" formatCode="#,##0&quot;원/평&quot;"/>
    <numFmt numFmtId="194" formatCode="&quot;건축면적&quot;#,##0.00"/>
    <numFmt numFmtId="195" formatCode="_-* #,##0_-;\-* #,##0_-;_-* &quot;-&quot;??_-;_-@_-"/>
    <numFmt numFmtId="196" formatCode="yyyy&quot;년&quot;\ m&quot;월&quot;\ d&quot;일&quot;;@"/>
    <numFmt numFmtId="197" formatCode="_-* #,##0.00000_-;\-* #,##0.00000_-;_-* &quot;-&quot;_-;_-@_-"/>
    <numFmt numFmtId="198" formatCode="#,##0_);[Red]\(#,##0\)"/>
    <numFmt numFmtId="199" formatCode="0&quot;년&quot;"/>
    <numFmt numFmtId="200" formatCode="_-* #,##0.0_-;\-* #,##0.0_-;_-* &quot;-&quot;_-;_-@_-"/>
    <numFmt numFmtId="201" formatCode="&quot;사업면적&quot;#,##0.00"/>
    <numFmt numFmtId="202" formatCode="#,##0.0&quot;㎡&quot;"/>
    <numFmt numFmtId="203" formatCode="#,###&quot;세대&quot;"/>
    <numFmt numFmtId="204" formatCode="#,###&quot;평&quot;"/>
    <numFmt numFmtId="205" formatCode="#,##0_ ;[Red]\-#,##0\ "/>
    <numFmt numFmtId="206" formatCode="0.00_ "/>
    <numFmt numFmtId="207" formatCode="0_ &quot;년&quot;"/>
    <numFmt numFmtId="208" formatCode="&quot;할인율&quot;\ 0.00%"/>
    <numFmt numFmtId="209" formatCode="0.0000%"/>
    <numFmt numFmtId="210" formatCode="&quot;(총사업비의&quot;\ 00%&quot;)&quot;"/>
    <numFmt numFmtId="211" formatCode="&quot;건축면적&quot;#,##0.00&quot;㎡&quot;"/>
    <numFmt numFmtId="212" formatCode="&quot;사업면적&quot;#,##0.00&quot;㎡&quot;"/>
  </numFmts>
  <fonts count="11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바탕"/>
      <family val="1"/>
      <charset val="129"/>
    </font>
    <font>
      <sz val="8"/>
      <name val="바탕"/>
      <family val="1"/>
      <charset val="129"/>
    </font>
    <font>
      <b/>
      <sz val="14"/>
      <name val="바탕"/>
      <family val="1"/>
      <charset val="129"/>
    </font>
    <font>
      <sz val="10"/>
      <name val="바탕"/>
      <family val="1"/>
      <charset val="129"/>
    </font>
    <font>
      <sz val="8"/>
      <name val="돋움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8"/>
      <color indexed="12"/>
      <name val="맑은 고딕"/>
      <family val="3"/>
      <charset val="129"/>
    </font>
    <font>
      <b/>
      <sz val="10"/>
      <name val="바탕"/>
      <family val="1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"/>
      <family val="1"/>
      <charset val="129"/>
    </font>
    <font>
      <b/>
      <sz val="7.5"/>
      <name val="Arial Narrow"/>
      <family val="2"/>
    </font>
    <font>
      <sz val="7.5"/>
      <name val="Arial Narrow"/>
      <family val="2"/>
    </font>
    <font>
      <sz val="7.5"/>
      <name val="돋움"/>
      <family val="3"/>
      <charset val="129"/>
    </font>
    <font>
      <sz val="7"/>
      <name val="Arial Narrow"/>
      <family val="2"/>
    </font>
    <font>
      <b/>
      <sz val="10"/>
      <name val="맑은고딕"/>
      <family val="3"/>
      <charset val="129"/>
    </font>
    <font>
      <sz val="10"/>
      <name val="맑은고딕"/>
      <family val="3"/>
      <charset val="129"/>
    </font>
    <font>
      <b/>
      <sz val="9"/>
      <color rgb="FF333333"/>
      <name val="돋움"/>
      <family val="3"/>
      <charset val="129"/>
    </font>
    <font>
      <sz val="9"/>
      <color rgb="FF333333"/>
      <name val="돋움"/>
      <family val="3"/>
      <charset val="129"/>
    </font>
    <font>
      <b/>
      <sz val="16"/>
      <name val="바탕"/>
      <family val="1"/>
      <charset val="129"/>
    </font>
    <font>
      <sz val="16"/>
      <name val="바탕"/>
      <family val="1"/>
      <charset val="129"/>
    </font>
    <font>
      <sz val="16"/>
      <name val="돋움"/>
      <family val="3"/>
      <charset val="129"/>
    </font>
    <font>
      <b/>
      <sz val="16"/>
      <name val="돋움"/>
      <family val="3"/>
      <charset val="129"/>
    </font>
    <font>
      <b/>
      <sz val="16"/>
      <name val="맑은 고딕"/>
      <family val="3"/>
      <charset val="129"/>
    </font>
    <font>
      <sz val="14"/>
      <name val="바탕"/>
      <family val="1"/>
      <charset val="129"/>
    </font>
    <font>
      <sz val="14"/>
      <name val="돋움"/>
      <family val="3"/>
      <charset val="129"/>
    </font>
    <font>
      <b/>
      <sz val="22"/>
      <name val="바탕"/>
      <family val="1"/>
      <charset val="129"/>
    </font>
    <font>
      <b/>
      <sz val="24"/>
      <name val="바탕"/>
      <family val="1"/>
      <charset val="129"/>
    </font>
    <font>
      <sz val="12"/>
      <name val="돋움"/>
      <family val="3"/>
      <charset val="129"/>
    </font>
    <font>
      <sz val="12"/>
      <color indexed="8"/>
      <name val="맑은 고딕"/>
      <family val="3"/>
      <charset val="129"/>
    </font>
    <font>
      <sz val="15"/>
      <name val="바탕"/>
      <family val="1"/>
      <charset val="129"/>
    </font>
    <font>
      <b/>
      <sz val="15"/>
      <name val="바탕"/>
      <family val="1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b/>
      <sz val="24"/>
      <name val="돋움"/>
      <family val="3"/>
      <charset val="129"/>
    </font>
    <font>
      <sz val="16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20"/>
      <name val="돋움"/>
      <family val="3"/>
      <charset val="129"/>
    </font>
    <font>
      <b/>
      <sz val="36"/>
      <name val="함초롬바탕"/>
      <family val="1"/>
      <charset val="129"/>
    </font>
    <font>
      <sz val="12"/>
      <name val="Arial Narrow"/>
      <family val="2"/>
    </font>
    <font>
      <b/>
      <sz val="14"/>
      <color theme="0"/>
      <name val="Arial Narrow"/>
      <family val="2"/>
    </font>
    <font>
      <sz val="36"/>
      <name val="함초롬바탕"/>
      <family val="1"/>
      <charset val="129"/>
    </font>
    <font>
      <b/>
      <sz val="36"/>
      <color rgb="FF000000"/>
      <name val="함초롬바탕"/>
      <family val="1"/>
      <charset val="129"/>
    </font>
    <font>
      <b/>
      <sz val="14"/>
      <color indexed="8"/>
      <name val="돋움"/>
      <family val="3"/>
      <charset val="129"/>
    </font>
    <font>
      <sz val="14"/>
      <color indexed="8"/>
      <name val="바탕"/>
      <family val="1"/>
      <charset val="129"/>
    </font>
    <font>
      <b/>
      <sz val="22"/>
      <name val="함초롬바탕"/>
      <family val="1"/>
      <charset val="129"/>
    </font>
    <font>
      <b/>
      <sz val="16"/>
      <color rgb="FFFF0000"/>
      <name val="돋움"/>
      <family val="3"/>
      <charset val="129"/>
    </font>
    <font>
      <b/>
      <sz val="14"/>
      <color theme="0"/>
      <name val="돋움"/>
      <family val="3"/>
      <charset val="129"/>
    </font>
    <font>
      <sz val="12"/>
      <color theme="0"/>
      <name val="바탕"/>
      <family val="1"/>
      <charset val="129"/>
    </font>
    <font>
      <sz val="14"/>
      <color theme="1"/>
      <name val="돋움"/>
      <family val="3"/>
      <charset val="129"/>
    </font>
    <font>
      <sz val="14"/>
      <color theme="1"/>
      <name val="Arial Narrow"/>
      <family val="2"/>
    </font>
    <font>
      <b/>
      <sz val="14"/>
      <color theme="1"/>
      <name val="돋움"/>
      <family val="3"/>
      <charset val="129"/>
    </font>
    <font>
      <sz val="14"/>
      <color theme="1"/>
      <name val="바탕"/>
      <family val="1"/>
      <charset val="129"/>
    </font>
    <font>
      <sz val="12"/>
      <color theme="0"/>
      <name val="돋움"/>
      <family val="3"/>
      <charset val="129"/>
    </font>
    <font>
      <sz val="18"/>
      <name val="Arial Narrow"/>
      <family val="2"/>
    </font>
    <font>
      <sz val="18"/>
      <name val="바탕"/>
      <family val="1"/>
      <charset val="129"/>
    </font>
    <font>
      <sz val="16"/>
      <color theme="1"/>
      <name val="Arial Narrow"/>
      <family val="2"/>
    </font>
    <font>
      <sz val="16"/>
      <color theme="1"/>
      <name val="돋움"/>
      <family val="3"/>
      <charset val="129"/>
    </font>
    <font>
      <sz val="16"/>
      <color theme="1"/>
      <name val="바탕"/>
      <family val="1"/>
      <charset val="129"/>
    </font>
    <font>
      <b/>
      <sz val="16"/>
      <color theme="1"/>
      <name val="Arial Narrow"/>
      <family val="2"/>
    </font>
    <font>
      <sz val="11"/>
      <color rgb="FFFF0000"/>
      <name val="돋움"/>
      <family val="3"/>
      <charset val="129"/>
    </font>
    <font>
      <sz val="18"/>
      <name val="돋움"/>
      <family val="3"/>
      <charset val="129"/>
    </font>
    <font>
      <b/>
      <sz val="11"/>
      <color rgb="FFFF0000"/>
      <name val="Arial Narrow"/>
      <family val="2"/>
    </font>
    <font>
      <b/>
      <sz val="11"/>
      <name val="돋움"/>
      <family val="3"/>
      <charset val="129"/>
    </font>
    <font>
      <b/>
      <sz val="11"/>
      <name val="Arial Narrow"/>
      <family val="2"/>
    </font>
    <font>
      <b/>
      <sz val="11"/>
      <color rgb="FFFF0000"/>
      <name val="돋움"/>
      <family val="3"/>
      <charset val="129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1"/>
      <color theme="0"/>
      <name val="돋움"/>
      <family val="3"/>
      <charset val="129"/>
    </font>
    <font>
      <b/>
      <sz val="13"/>
      <name val="Arial Narrow"/>
      <family val="2"/>
    </font>
    <font>
      <sz val="13"/>
      <name val="Arial Narrow"/>
      <family val="2"/>
    </font>
    <font>
      <sz val="13"/>
      <color rgb="FFFF0000"/>
      <name val="Arial Narrow"/>
      <family val="2"/>
    </font>
    <font>
      <b/>
      <sz val="13"/>
      <name val="돋움"/>
      <family val="3"/>
      <charset val="129"/>
    </font>
    <font>
      <b/>
      <sz val="13"/>
      <color rgb="FFFF0000"/>
      <name val="Arial Narrow"/>
      <family val="2"/>
    </font>
    <font>
      <sz val="13"/>
      <name val="돋움"/>
      <family val="3"/>
      <charset val="129"/>
    </font>
    <font>
      <sz val="13"/>
      <color theme="0"/>
      <name val="Arial Narrow"/>
      <family val="2"/>
    </font>
    <font>
      <b/>
      <u/>
      <sz val="13"/>
      <name val="Arial Narrow"/>
      <family val="2"/>
    </font>
    <font>
      <u/>
      <sz val="13"/>
      <name val="Arial Narrow"/>
      <family val="2"/>
    </font>
    <font>
      <sz val="20"/>
      <name val="Arial Narrow"/>
      <family val="2"/>
    </font>
    <font>
      <b/>
      <sz val="24"/>
      <name val="Arial Narrow"/>
      <family val="2"/>
    </font>
    <font>
      <b/>
      <sz val="24"/>
      <name val="함초롬바탕"/>
      <family val="1"/>
      <charset val="129"/>
    </font>
    <font>
      <sz val="24"/>
      <name val="Arial Narrow"/>
      <family val="2"/>
    </font>
    <font>
      <b/>
      <sz val="20"/>
      <name val="돋움"/>
      <family val="3"/>
      <charset val="129"/>
    </font>
    <font>
      <sz val="16"/>
      <name val="맑은 고딕"/>
      <family val="3"/>
      <charset val="129"/>
    </font>
    <font>
      <u/>
      <sz val="11"/>
      <color theme="10"/>
      <name val="돋움"/>
      <family val="3"/>
      <charset val="129"/>
    </font>
    <font>
      <sz val="12"/>
      <color indexed="12"/>
      <name val="Arial Narrow"/>
      <family val="2"/>
    </font>
    <font>
      <b/>
      <sz val="12"/>
      <color indexed="62"/>
      <name val="Arial Narrow"/>
      <family val="2"/>
    </font>
    <font>
      <b/>
      <sz val="12"/>
      <color indexed="62"/>
      <name val="돋움"/>
      <family val="3"/>
      <charset val="129"/>
    </font>
    <font>
      <b/>
      <sz val="12"/>
      <color indexed="62"/>
      <name val="맑은 고딕"/>
      <family val="3"/>
      <charset val="129"/>
      <scheme val="major"/>
    </font>
    <font>
      <sz val="13"/>
      <color rgb="FFFF0000"/>
      <name val="돋움"/>
      <family val="3"/>
      <charset val="129"/>
    </font>
    <font>
      <sz val="12"/>
      <name val="굴림"/>
      <family val="3"/>
      <charset val="129"/>
    </font>
    <font>
      <sz val="9"/>
      <name val="굴림"/>
      <family val="3"/>
      <charset val="129"/>
    </font>
    <font>
      <sz val="10"/>
      <name val="Arial Narrow"/>
      <family val="2"/>
    </font>
    <font>
      <sz val="10"/>
      <name val="돋움"/>
      <family val="3"/>
      <charset val="129"/>
    </font>
    <font>
      <sz val="8"/>
      <name val="Arial Narrow"/>
      <family val="2"/>
    </font>
    <font>
      <sz val="12"/>
      <color rgb="FFFF0000"/>
      <name val="Arial Narrow"/>
      <family val="2"/>
    </font>
    <font>
      <sz val="12"/>
      <color rgb="FFFF0000"/>
      <name val="돋움"/>
      <family val="3"/>
      <charset val="129"/>
    </font>
    <font>
      <b/>
      <sz val="14"/>
      <color rgb="FFFF0000"/>
      <name val="돋움"/>
      <family val="3"/>
      <charset val="129"/>
    </font>
    <font>
      <sz val="14"/>
      <color rgb="FFFF0000"/>
      <name val="돋움"/>
      <family val="3"/>
      <charset val="129"/>
    </font>
    <font>
      <sz val="14"/>
      <color rgb="FFFF000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thin">
        <color indexed="64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auto="1"/>
      </right>
      <top style="dashed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94" fillId="0" borderId="0" applyNumberFormat="0" applyFill="0" applyBorder="0" applyAlignment="0" applyProtection="0">
      <alignment vertical="center"/>
    </xf>
  </cellStyleXfs>
  <cellXfs count="1269">
    <xf numFmtId="0" fontId="0" fillId="0" borderId="0" xfId="0">
      <alignment vertical="center"/>
    </xf>
    <xf numFmtId="0" fontId="11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41" fontId="14" fillId="0" borderId="0" xfId="4" applyFont="1">
      <alignment vertical="center"/>
    </xf>
    <xf numFmtId="0" fontId="10" fillId="0" borderId="0" xfId="0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41" fontId="15" fillId="0" borderId="0" xfId="1" applyFont="1" applyFill="1" applyAlignment="1">
      <alignment horizontal="left" vertical="center"/>
    </xf>
    <xf numFmtId="41" fontId="17" fillId="0" borderId="0" xfId="1" applyFont="1">
      <alignment vertical="center"/>
    </xf>
    <xf numFmtId="41" fontId="18" fillId="0" borderId="0" xfId="1" applyFont="1" applyAlignment="1">
      <alignment horizontal="center" vertical="center"/>
    </xf>
    <xf numFmtId="41" fontId="17" fillId="0" borderId="0" xfId="1" applyFont="1" applyAlignment="1">
      <alignment horizontal="center" vertical="center"/>
    </xf>
    <xf numFmtId="179" fontId="17" fillId="0" borderId="0" xfId="2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4" fontId="5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186" fontId="7" fillId="0" borderId="0" xfId="1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41" fontId="4" fillId="0" borderId="0" xfId="1" applyFont="1" applyFill="1" applyAlignment="1">
      <alignment horizontal="center" vertical="center"/>
    </xf>
    <xf numFmtId="0" fontId="0" fillId="0" borderId="1" xfId="0" applyBorder="1">
      <alignment vertical="center"/>
    </xf>
    <xf numFmtId="41" fontId="12" fillId="0" borderId="0" xfId="1" applyFont="1" applyFill="1" applyBorder="1" applyAlignment="1">
      <alignment horizontal="center" vertical="center"/>
    </xf>
    <xf numFmtId="179" fontId="7" fillId="0" borderId="0" xfId="0" applyNumberFormat="1" applyFont="1" applyFill="1" applyBorder="1">
      <alignment vertical="center"/>
    </xf>
    <xf numFmtId="41" fontId="7" fillId="0" borderId="0" xfId="1" applyFont="1" applyFill="1" applyBorder="1" applyAlignment="1">
      <alignment horizontal="center" vertical="center" wrapText="1"/>
    </xf>
    <xf numFmtId="43" fontId="7" fillId="0" borderId="0" xfId="1" applyNumberFormat="1" applyFont="1" applyFill="1" applyBorder="1" applyAlignment="1">
      <alignment vertical="center"/>
    </xf>
    <xf numFmtId="43" fontId="7" fillId="0" borderId="0" xfId="1" applyNumberFormat="1" applyFont="1" applyFill="1" applyBorder="1" applyAlignment="1">
      <alignment horizontal="center" vertical="center"/>
    </xf>
    <xf numFmtId="41" fontId="7" fillId="0" borderId="0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1" fontId="25" fillId="0" borderId="0" xfId="1" applyFont="1" applyFill="1" applyAlignment="1">
      <alignment vertical="center"/>
    </xf>
    <xf numFmtId="0" fontId="26" fillId="0" borderId="0" xfId="0" applyFont="1">
      <alignment vertical="center"/>
    </xf>
    <xf numFmtId="41" fontId="25" fillId="0" borderId="0" xfId="1" applyFont="1" applyFill="1" applyAlignment="1">
      <alignment horizontal="right"/>
    </xf>
    <xf numFmtId="14" fontId="25" fillId="0" borderId="0" xfId="1" applyNumberFormat="1" applyFont="1" applyFill="1" applyBorder="1" applyAlignment="1">
      <alignment horizontal="right"/>
    </xf>
    <xf numFmtId="189" fontId="25" fillId="0" borderId="0" xfId="2" applyNumberFormat="1" applyFont="1" applyFill="1" applyBorder="1" applyAlignment="1">
      <alignment horizontal="center" vertical="center"/>
    </xf>
    <xf numFmtId="186" fontId="25" fillId="0" borderId="0" xfId="1" applyNumberFormat="1" applyFont="1" applyFill="1" applyBorder="1" applyAlignment="1">
      <alignment horizontal="center" vertical="center"/>
    </xf>
    <xf numFmtId="41" fontId="25" fillId="0" borderId="0" xfId="1" applyFont="1" applyFill="1" applyAlignment="1">
      <alignment horizontal="left" vertical="center"/>
    </xf>
    <xf numFmtId="41" fontId="29" fillId="0" borderId="1" xfId="1" applyFont="1" applyFill="1" applyBorder="1" applyAlignment="1">
      <alignment vertical="center"/>
    </xf>
    <xf numFmtId="0" fontId="30" fillId="0" borderId="1" xfId="0" applyFont="1" applyBorder="1">
      <alignment vertical="center"/>
    </xf>
    <xf numFmtId="41" fontId="29" fillId="0" borderId="79" xfId="1" applyFont="1" applyFill="1" applyBorder="1" applyAlignment="1">
      <alignment vertical="center"/>
    </xf>
    <xf numFmtId="41" fontId="31" fillId="0" borderId="0" xfId="1" applyFont="1" applyFill="1" applyAlignment="1">
      <alignment horizontal="left"/>
    </xf>
    <xf numFmtId="14" fontId="25" fillId="0" borderId="0" xfId="1" applyNumberFormat="1" applyFont="1" applyFill="1" applyBorder="1" applyAlignment="1">
      <alignment horizontal="center"/>
    </xf>
    <xf numFmtId="0" fontId="24" fillId="0" borderId="0" xfId="1" applyNumberFormat="1" applyFont="1" applyFill="1" applyBorder="1" applyAlignment="1">
      <alignment horizontal="center" vertical="center"/>
    </xf>
    <xf numFmtId="41" fontId="24" fillId="0" borderId="0" xfId="1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0" fillId="0" borderId="0" xfId="0">
      <alignment vertical="center"/>
    </xf>
    <xf numFmtId="14" fontId="9" fillId="0" borderId="0" xfId="0" applyNumberFormat="1" applyFont="1" applyFill="1" applyBorder="1" applyAlignment="1">
      <alignment vertical="center"/>
    </xf>
    <xf numFmtId="41" fontId="17" fillId="0" borderId="0" xfId="1" applyFont="1">
      <alignment vertical="center"/>
    </xf>
    <xf numFmtId="41" fontId="17" fillId="0" borderId="0" xfId="1" applyFont="1" applyAlignment="1">
      <alignment horizontal="center" vertical="center"/>
    </xf>
    <xf numFmtId="41" fontId="17" fillId="0" borderId="0" xfId="1" applyFont="1" applyBorder="1" applyAlignment="1">
      <alignment horizontal="center" vertical="center"/>
    </xf>
    <xf numFmtId="179" fontId="17" fillId="0" borderId="0" xfId="2" applyNumberFormat="1" applyFont="1">
      <alignment vertical="center"/>
    </xf>
    <xf numFmtId="41" fontId="4" fillId="0" borderId="0" xfId="1" applyFont="1" applyFill="1" applyAlignment="1">
      <alignment horizontal="center" vertical="center"/>
    </xf>
    <xf numFmtId="41" fontId="10" fillId="0" borderId="0" xfId="0" applyNumberFormat="1" applyFont="1" applyBorder="1">
      <alignment vertical="center"/>
    </xf>
    <xf numFmtId="0" fontId="33" fillId="0" borderId="0" xfId="0" applyFont="1">
      <alignment vertical="center"/>
    </xf>
    <xf numFmtId="43" fontId="15" fillId="0" borderId="0" xfId="1" applyNumberFormat="1" applyFont="1" applyFill="1" applyBorder="1" applyAlignment="1">
      <alignment horizontal="center" vertical="center"/>
    </xf>
    <xf numFmtId="0" fontId="33" fillId="0" borderId="0" xfId="0" applyFont="1" applyBorder="1">
      <alignment vertical="center"/>
    </xf>
    <xf numFmtId="0" fontId="33" fillId="0" borderId="0" xfId="0" applyFont="1" applyFill="1">
      <alignment vertical="center"/>
    </xf>
    <xf numFmtId="0" fontId="33" fillId="0" borderId="0" xfId="0" applyFont="1" applyFill="1" applyAlignment="1">
      <alignment horizontal="right" vertical="center"/>
    </xf>
    <xf numFmtId="3" fontId="33" fillId="0" borderId="0" xfId="0" applyNumberFormat="1" applyFont="1" applyFill="1" applyAlignment="1">
      <alignment horizontal="right" vertical="center"/>
    </xf>
    <xf numFmtId="0" fontId="34" fillId="0" borderId="0" xfId="3" applyFont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30" fillId="0" borderId="0" xfId="0" applyFo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5" fillId="0" borderId="90" xfId="1" applyNumberFormat="1" applyFont="1" applyFill="1" applyBorder="1" applyAlignment="1">
      <alignment vertical="center" wrapText="1"/>
    </xf>
    <xf numFmtId="41" fontId="25" fillId="13" borderId="0" xfId="1" applyFont="1" applyFill="1" applyBorder="1" applyAlignment="1">
      <alignment horizontal="right"/>
    </xf>
    <xf numFmtId="183" fontId="29" fillId="13" borderId="0" xfId="1" applyNumberFormat="1" applyFont="1" applyFill="1" applyBorder="1" applyAlignment="1">
      <alignment horizontal="center" vertical="center"/>
    </xf>
    <xf numFmtId="41" fontId="29" fillId="13" borderId="0" xfId="1" applyFont="1" applyFill="1" applyBorder="1" applyAlignment="1">
      <alignment vertical="center"/>
    </xf>
    <xf numFmtId="0" fontId="30" fillId="13" borderId="0" xfId="0" applyFont="1" applyFill="1" applyBorder="1">
      <alignment vertical="center"/>
    </xf>
    <xf numFmtId="41" fontId="43" fillId="0" borderId="17" xfId="1" applyFont="1" applyBorder="1">
      <alignment vertical="center"/>
    </xf>
    <xf numFmtId="41" fontId="44" fillId="0" borderId="0" xfId="1" applyFont="1" applyFill="1" applyBorder="1" applyAlignment="1">
      <alignment horizontal="center" vertical="center"/>
    </xf>
    <xf numFmtId="196" fontId="30" fillId="0" borderId="0" xfId="0" applyNumberFormat="1" applyFont="1" applyFill="1" applyBorder="1" applyAlignment="1">
      <alignment horizontal="center" vertical="center"/>
    </xf>
    <xf numFmtId="197" fontId="43" fillId="0" borderId="0" xfId="1" applyNumberFormat="1" applyFont="1" applyFill="1" applyBorder="1">
      <alignment vertical="center"/>
    </xf>
    <xf numFmtId="0" fontId="43" fillId="0" borderId="0" xfId="0" applyFont="1" applyFill="1">
      <alignment vertical="center"/>
    </xf>
    <xf numFmtId="179" fontId="30" fillId="0" borderId="0" xfId="2" applyNumberFormat="1" applyFont="1" applyFill="1" applyBorder="1" applyAlignment="1">
      <alignment vertical="center"/>
    </xf>
    <xf numFmtId="179" fontId="30" fillId="0" borderId="0" xfId="2" applyNumberFormat="1" applyFont="1" applyFill="1" applyBorder="1" applyAlignment="1">
      <alignment horizontal="center" vertical="center"/>
    </xf>
    <xf numFmtId="196" fontId="44" fillId="0" borderId="0" xfId="0" applyNumberFormat="1" applyFont="1" applyFill="1" applyBorder="1" applyAlignment="1">
      <alignment horizontal="center" vertical="center"/>
    </xf>
    <xf numFmtId="41" fontId="43" fillId="0" borderId="0" xfId="1" applyFont="1" applyBorder="1" applyAlignment="1">
      <alignment horizontal="center" vertical="center"/>
    </xf>
    <xf numFmtId="41" fontId="43" fillId="0" borderId="1" xfId="1" applyFont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41" fontId="43" fillId="0" borderId="26" xfId="1" applyFont="1" applyBorder="1">
      <alignment vertical="center"/>
    </xf>
    <xf numFmtId="41" fontId="42" fillId="6" borderId="51" xfId="1" applyFont="1" applyFill="1" applyBorder="1">
      <alignment vertical="center"/>
    </xf>
    <xf numFmtId="9" fontId="41" fillId="6" borderId="82" xfId="0" applyNumberFormat="1" applyFont="1" applyFill="1" applyBorder="1" applyAlignment="1">
      <alignment horizontal="center" vertical="center"/>
    </xf>
    <xf numFmtId="41" fontId="42" fillId="0" borderId="43" xfId="1" applyFont="1" applyFill="1" applyBorder="1">
      <alignment vertical="center"/>
    </xf>
    <xf numFmtId="9" fontId="42" fillId="0" borderId="44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indent="1"/>
    </xf>
    <xf numFmtId="9" fontId="42" fillId="0" borderId="0" xfId="0" applyNumberFormat="1" applyFont="1" applyFill="1" applyBorder="1">
      <alignment vertical="center"/>
    </xf>
    <xf numFmtId="0" fontId="41" fillId="0" borderId="0" xfId="0" applyFont="1" applyFill="1" applyBorder="1">
      <alignment vertical="center"/>
    </xf>
    <xf numFmtId="179" fontId="27" fillId="0" borderId="0" xfId="2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41" fontId="24" fillId="13" borderId="0" xfId="1" applyFont="1" applyFill="1" applyBorder="1" applyAlignment="1"/>
    <xf numFmtId="41" fontId="25" fillId="13" borderId="0" xfId="1" applyFont="1" applyFill="1" applyBorder="1" applyAlignment="1">
      <alignment vertical="center"/>
    </xf>
    <xf numFmtId="0" fontId="26" fillId="13" borderId="0" xfId="0" applyFont="1" applyFill="1" applyBorder="1">
      <alignment vertical="center"/>
    </xf>
    <xf numFmtId="0" fontId="26" fillId="13" borderId="90" xfId="0" applyFont="1" applyFill="1" applyBorder="1">
      <alignment vertical="center"/>
    </xf>
    <xf numFmtId="41" fontId="24" fillId="0" borderId="90" xfId="1" applyFont="1" applyFill="1" applyBorder="1" applyAlignment="1">
      <alignment horizontal="center" vertical="center" wrapText="1"/>
    </xf>
    <xf numFmtId="41" fontId="28" fillId="0" borderId="90" xfId="1" applyFont="1" applyFill="1" applyBorder="1" applyAlignment="1">
      <alignment horizontal="center" vertical="center"/>
    </xf>
    <xf numFmtId="43" fontId="35" fillId="0" borderId="90" xfId="1" applyNumberFormat="1" applyFont="1" applyFill="1" applyBorder="1" applyAlignment="1">
      <alignment vertical="center"/>
    </xf>
    <xf numFmtId="43" fontId="35" fillId="0" borderId="90" xfId="1" applyNumberFormat="1" applyFont="1" applyFill="1" applyBorder="1" applyAlignment="1">
      <alignment horizontal="center" vertical="center"/>
    </xf>
    <xf numFmtId="43" fontId="35" fillId="0" borderId="90" xfId="0" applyNumberFormat="1" applyFont="1" applyFill="1" applyBorder="1">
      <alignment vertical="center"/>
    </xf>
    <xf numFmtId="200" fontId="36" fillId="0" borderId="90" xfId="1" applyNumberFormat="1" applyFont="1" applyFill="1" applyBorder="1" applyAlignment="1">
      <alignment horizontal="center" vertical="center"/>
    </xf>
    <xf numFmtId="200" fontId="36" fillId="0" borderId="90" xfId="1" applyNumberFormat="1" applyFont="1" applyFill="1" applyBorder="1" applyAlignment="1">
      <alignment vertical="center"/>
    </xf>
    <xf numFmtId="41" fontId="29" fillId="0" borderId="90" xfId="1" applyFont="1" applyFill="1" applyBorder="1" applyAlignment="1">
      <alignment vertical="center"/>
    </xf>
    <xf numFmtId="0" fontId="0" fillId="0" borderId="49" xfId="0" applyBorder="1">
      <alignment vertical="center"/>
    </xf>
    <xf numFmtId="183" fontId="29" fillId="13" borderId="1" xfId="1" applyNumberFormat="1" applyFont="1" applyFill="1" applyBorder="1" applyAlignment="1">
      <alignment horizontal="center" vertical="center"/>
    </xf>
    <xf numFmtId="41" fontId="29" fillId="13" borderId="1" xfId="1" applyFont="1" applyFill="1" applyBorder="1" applyAlignment="1">
      <alignment vertical="center"/>
    </xf>
    <xf numFmtId="0" fontId="30" fillId="13" borderId="1" xfId="0" applyFont="1" applyFill="1" applyBorder="1">
      <alignment vertical="center"/>
    </xf>
    <xf numFmtId="41" fontId="29" fillId="13" borderId="79" xfId="1" applyFont="1" applyFill="1" applyBorder="1" applyAlignment="1">
      <alignment vertical="center"/>
    </xf>
    <xf numFmtId="0" fontId="0" fillId="0" borderId="0" xfId="0" applyBorder="1">
      <alignment vertical="center"/>
    </xf>
    <xf numFmtId="41" fontId="25" fillId="13" borderId="90" xfId="1" applyFont="1" applyFill="1" applyBorder="1" applyAlignment="1">
      <alignment horizontal="right"/>
    </xf>
    <xf numFmtId="41" fontId="24" fillId="0" borderId="90" xfId="1" applyFont="1" applyFill="1" applyBorder="1" applyAlignment="1">
      <alignment horizontal="center" vertical="center"/>
    </xf>
    <xf numFmtId="194" fontId="35" fillId="0" borderId="90" xfId="1" applyNumberFormat="1" applyFont="1" applyFill="1" applyBorder="1" applyAlignment="1">
      <alignment horizontal="center" vertical="center"/>
    </xf>
    <xf numFmtId="201" fontId="35" fillId="0" borderId="90" xfId="1" applyNumberFormat="1" applyFont="1" applyFill="1" applyBorder="1" applyAlignment="1">
      <alignment horizontal="center" vertical="center"/>
    </xf>
    <xf numFmtId="0" fontId="0" fillId="0" borderId="90" xfId="0" applyBorder="1">
      <alignment vertical="center"/>
    </xf>
    <xf numFmtId="0" fontId="0" fillId="0" borderId="79" xfId="0" applyBorder="1">
      <alignment vertical="center"/>
    </xf>
    <xf numFmtId="176" fontId="24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/>
    </xf>
    <xf numFmtId="0" fontId="0" fillId="3" borderId="92" xfId="0" applyFill="1" applyBorder="1">
      <alignment vertical="center"/>
    </xf>
    <xf numFmtId="14" fontId="9" fillId="3" borderId="99" xfId="0" applyNumberFormat="1" applyFont="1" applyFill="1" applyBorder="1" applyAlignment="1">
      <alignment vertical="center"/>
    </xf>
    <xf numFmtId="0" fontId="30" fillId="3" borderId="99" xfId="0" applyFont="1" applyFill="1" applyBorder="1" applyAlignment="1">
      <alignment vertical="center"/>
    </xf>
    <xf numFmtId="0" fontId="30" fillId="3" borderId="99" xfId="0" applyFont="1" applyFill="1" applyBorder="1" applyAlignment="1">
      <alignment horizontal="center" vertical="center"/>
    </xf>
    <xf numFmtId="0" fontId="30" fillId="3" borderId="99" xfId="0" applyFont="1" applyFill="1" applyBorder="1">
      <alignment vertical="center"/>
    </xf>
    <xf numFmtId="0" fontId="0" fillId="3" borderId="100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02" fontId="29" fillId="0" borderId="1" xfId="0" applyNumberFormat="1" applyFont="1" applyFill="1" applyBorder="1">
      <alignment vertical="center"/>
    </xf>
    <xf numFmtId="193" fontId="29" fillId="0" borderId="1" xfId="0" applyNumberFormat="1" applyFont="1" applyFill="1" applyBorder="1">
      <alignment vertical="center"/>
    </xf>
    <xf numFmtId="0" fontId="29" fillId="0" borderId="1" xfId="0" applyFont="1" applyFill="1" applyBorder="1">
      <alignment vertical="center"/>
    </xf>
    <xf numFmtId="0" fontId="0" fillId="3" borderId="92" xfId="0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0" fillId="0" borderId="45" xfId="0" applyBorder="1">
      <alignment vertical="center"/>
    </xf>
    <xf numFmtId="176" fontId="6" fillId="0" borderId="77" xfId="0" applyNumberFormat="1" applyFont="1" applyFill="1" applyBorder="1" applyAlignment="1">
      <alignment horizontal="left"/>
    </xf>
    <xf numFmtId="0" fontId="0" fillId="0" borderId="77" xfId="0" applyBorder="1">
      <alignment vertical="center"/>
    </xf>
    <xf numFmtId="0" fontId="30" fillId="0" borderId="77" xfId="0" applyFont="1" applyBorder="1">
      <alignment vertical="center"/>
    </xf>
    <xf numFmtId="0" fontId="0" fillId="0" borderId="78" xfId="0" applyBorder="1">
      <alignment vertical="center"/>
    </xf>
    <xf numFmtId="0" fontId="33" fillId="0" borderId="15" xfId="0" applyFont="1" applyBorder="1">
      <alignment vertical="center"/>
    </xf>
    <xf numFmtId="0" fontId="33" fillId="0" borderId="90" xfId="0" applyFont="1" applyBorder="1">
      <alignment vertical="center"/>
    </xf>
    <xf numFmtId="41" fontId="31" fillId="0" borderId="0" xfId="1" applyFont="1" applyBorder="1" applyAlignment="1">
      <alignment horizontal="left" vertical="center"/>
    </xf>
    <xf numFmtId="41" fontId="17" fillId="0" borderId="90" xfId="1" applyFont="1" applyBorder="1" applyAlignment="1">
      <alignment horizontal="center" vertical="center"/>
    </xf>
    <xf numFmtId="0" fontId="48" fillId="0" borderId="0" xfId="0" applyFont="1">
      <alignment vertical="center"/>
    </xf>
    <xf numFmtId="179" fontId="27" fillId="0" borderId="28" xfId="2" applyNumberFormat="1" applyFont="1" applyFill="1" applyBorder="1" applyAlignment="1">
      <alignment horizontal="center" vertical="center"/>
    </xf>
    <xf numFmtId="0" fontId="17" fillId="3" borderId="92" xfId="0" applyFont="1" applyFill="1" applyBorder="1">
      <alignment vertical="center"/>
    </xf>
    <xf numFmtId="41" fontId="17" fillId="3" borderId="99" xfId="1" applyFont="1" applyFill="1" applyBorder="1" applyAlignment="1">
      <alignment horizontal="center" vertical="center"/>
    </xf>
    <xf numFmtId="41" fontId="17" fillId="3" borderId="100" xfId="1" applyFont="1" applyFill="1" applyBorder="1" applyAlignment="1">
      <alignment horizontal="center" vertical="center"/>
    </xf>
    <xf numFmtId="0" fontId="17" fillId="0" borderId="15" xfId="0" applyFont="1" applyBorder="1">
      <alignment vertical="center"/>
    </xf>
    <xf numFmtId="196" fontId="17" fillId="0" borderId="90" xfId="0" applyNumberFormat="1" applyFont="1" applyBorder="1">
      <alignment vertical="center"/>
    </xf>
    <xf numFmtId="0" fontId="17" fillId="0" borderId="15" xfId="0" applyFont="1" applyFill="1" applyBorder="1">
      <alignment vertical="center"/>
    </xf>
    <xf numFmtId="0" fontId="43" fillId="0" borderId="90" xfId="0" applyFont="1" applyFill="1" applyBorder="1">
      <alignment vertical="center"/>
    </xf>
    <xf numFmtId="0" fontId="17" fillId="0" borderId="90" xfId="0" applyFont="1" applyFill="1" applyBorder="1">
      <alignment vertical="center"/>
    </xf>
    <xf numFmtId="0" fontId="17" fillId="0" borderId="49" xfId="0" applyFont="1" applyFill="1" applyBorder="1">
      <alignment vertical="center"/>
    </xf>
    <xf numFmtId="196" fontId="30" fillId="0" borderId="1" xfId="0" applyNumberFormat="1" applyFont="1" applyFill="1" applyBorder="1" applyAlignment="1">
      <alignment horizontal="center" vertical="center"/>
    </xf>
    <xf numFmtId="197" fontId="43" fillId="0" borderId="1" xfId="1" applyNumberFormat="1" applyFont="1" applyFill="1" applyBorder="1">
      <alignment vertical="center"/>
    </xf>
    <xf numFmtId="0" fontId="43" fillId="0" borderId="79" xfId="0" applyFont="1" applyFill="1" applyBorder="1">
      <alignment vertical="center"/>
    </xf>
    <xf numFmtId="0" fontId="43" fillId="0" borderId="0" xfId="0" applyFont="1" applyFill="1" applyBorder="1">
      <alignment vertical="center"/>
    </xf>
    <xf numFmtId="41" fontId="44" fillId="3" borderId="79" xfId="1" applyFont="1" applyFill="1" applyBorder="1" applyAlignment="1">
      <alignment horizontal="center" vertical="center"/>
    </xf>
    <xf numFmtId="196" fontId="43" fillId="0" borderId="1" xfId="0" applyNumberFormat="1" applyFont="1" applyBorder="1" applyAlignment="1">
      <alignment horizontal="center" vertical="center"/>
    </xf>
    <xf numFmtId="0" fontId="26" fillId="0" borderId="77" xfId="0" applyFont="1" applyFill="1" applyBorder="1" applyAlignment="1">
      <alignment horizontal="right"/>
    </xf>
    <xf numFmtId="0" fontId="33" fillId="0" borderId="107" xfId="0" applyFont="1" applyBorder="1">
      <alignment vertical="center"/>
    </xf>
    <xf numFmtId="199" fontId="43" fillId="0" borderId="73" xfId="0" applyNumberFormat="1" applyFont="1" applyBorder="1" applyAlignment="1">
      <alignment horizontal="center" vertical="center"/>
    </xf>
    <xf numFmtId="199" fontId="43" fillId="0" borderId="98" xfId="0" applyNumberFormat="1" applyFont="1" applyBorder="1" applyAlignment="1">
      <alignment horizontal="center" vertical="center"/>
    </xf>
    <xf numFmtId="0" fontId="49" fillId="0" borderId="73" xfId="1" applyNumberFormat="1" applyFont="1" applyBorder="1" applyAlignment="1">
      <alignment horizontal="center" vertical="center"/>
    </xf>
    <xf numFmtId="205" fontId="43" fillId="0" borderId="17" xfId="1" applyNumberFormat="1" applyFont="1" applyBorder="1" applyAlignment="1">
      <alignment horizontal="right" vertical="center"/>
    </xf>
    <xf numFmtId="205" fontId="43" fillId="0" borderId="17" xfId="1" applyNumberFormat="1" applyFont="1" applyFill="1" applyBorder="1" applyAlignment="1">
      <alignment horizontal="right" vertical="center"/>
    </xf>
    <xf numFmtId="41" fontId="43" fillId="13" borderId="17" xfId="1" applyFont="1" applyFill="1" applyBorder="1" applyAlignment="1">
      <alignment horizontal="center" vertical="center" wrapText="1"/>
    </xf>
    <xf numFmtId="41" fontId="43" fillId="13" borderId="26" xfId="1" applyFont="1" applyFill="1" applyBorder="1" applyAlignment="1">
      <alignment horizontal="center" vertical="center" wrapText="1"/>
    </xf>
    <xf numFmtId="41" fontId="44" fillId="3" borderId="95" xfId="1" applyFont="1" applyFill="1" applyBorder="1" applyAlignment="1">
      <alignment horizontal="center" vertical="center"/>
    </xf>
    <xf numFmtId="41" fontId="43" fillId="0" borderId="17" xfId="1" applyFont="1" applyFill="1" applyBorder="1">
      <alignment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41" fontId="39" fillId="3" borderId="99" xfId="1" applyFont="1" applyFill="1" applyBorder="1" applyAlignment="1">
      <alignment horizontal="left" vertical="center"/>
    </xf>
    <xf numFmtId="41" fontId="43" fillId="0" borderId="1" xfId="1" quotePrefix="1" applyFont="1" applyBorder="1" applyAlignment="1">
      <alignment horizontal="center" vertical="center"/>
    </xf>
    <xf numFmtId="196" fontId="38" fillId="3" borderId="102" xfId="0" applyNumberFormat="1" applyFont="1" applyFill="1" applyBorder="1" applyAlignment="1">
      <alignment horizontal="center" vertical="center"/>
    </xf>
    <xf numFmtId="0" fontId="51" fillId="0" borderId="0" xfId="0" applyFont="1">
      <alignment vertical="center"/>
    </xf>
    <xf numFmtId="0" fontId="51" fillId="0" borderId="0" xfId="0" applyFont="1" applyFill="1">
      <alignment vertical="center"/>
    </xf>
    <xf numFmtId="41" fontId="48" fillId="0" borderId="0" xfId="1" applyFont="1" applyFill="1" applyAlignment="1">
      <alignment horizontal="center" vertical="center"/>
    </xf>
    <xf numFmtId="176" fontId="39" fillId="3" borderId="99" xfId="0" applyNumberFormat="1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0" fillId="0" borderId="6" xfId="0" applyNumberFormat="1" applyFont="1" applyFill="1" applyBorder="1" applyAlignment="1">
      <alignment horizontal="center" vertical="center" wrapText="1"/>
    </xf>
    <xf numFmtId="183" fontId="29" fillId="0" borderId="0" xfId="1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3" fontId="30" fillId="0" borderId="0" xfId="0" applyNumberFormat="1" applyFont="1">
      <alignment vertical="center"/>
    </xf>
    <xf numFmtId="183" fontId="29" fillId="0" borderId="0" xfId="1" applyNumberFormat="1" applyFont="1" applyFill="1" applyBorder="1" applyAlignment="1">
      <alignment horizontal="right" vertical="center"/>
    </xf>
    <xf numFmtId="194" fontId="29" fillId="0" borderId="0" xfId="1" applyNumberFormat="1" applyFont="1" applyFill="1" applyBorder="1" applyAlignment="1">
      <alignment horizontal="right" vertical="center"/>
    </xf>
    <xf numFmtId="0" fontId="29" fillId="0" borderId="0" xfId="1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183" fontId="29" fillId="0" borderId="0" xfId="1" applyNumberFormat="1" applyFont="1" applyFill="1" applyBorder="1" applyAlignment="1">
      <alignment horizontal="center" vertical="center"/>
    </xf>
    <xf numFmtId="41" fontId="29" fillId="0" borderId="0" xfId="1" applyFont="1" applyFill="1" applyAlignment="1">
      <alignment horizontal="left" vertical="center"/>
    </xf>
    <xf numFmtId="41" fontId="30" fillId="0" borderId="86" xfId="1" applyFont="1" applyFill="1" applyBorder="1" applyAlignment="1">
      <alignment vertical="center"/>
    </xf>
    <xf numFmtId="41" fontId="30" fillId="13" borderId="0" xfId="1" applyFont="1" applyFill="1" applyBorder="1" applyAlignment="1">
      <alignment horizontal="right"/>
    </xf>
    <xf numFmtId="0" fontId="38" fillId="3" borderId="62" xfId="0" applyFont="1" applyFill="1" applyBorder="1" applyAlignment="1">
      <alignment horizontal="center" vertical="center"/>
    </xf>
    <xf numFmtId="0" fontId="38" fillId="3" borderId="63" xfId="0" applyFont="1" applyFill="1" applyBorder="1" applyAlignment="1">
      <alignment horizontal="center" vertical="center"/>
    </xf>
    <xf numFmtId="196" fontId="43" fillId="0" borderId="0" xfId="0" applyNumberFormat="1" applyFont="1" applyBorder="1" applyAlignment="1">
      <alignment horizontal="center" vertical="center"/>
    </xf>
    <xf numFmtId="10" fontId="43" fillId="0" borderId="0" xfId="0" quotePrefix="1" applyNumberFormat="1" applyFont="1" applyFill="1" applyBorder="1" applyAlignment="1">
      <alignment horizontal="center" vertical="center"/>
    </xf>
    <xf numFmtId="41" fontId="55" fillId="0" borderId="0" xfId="1" applyFont="1" applyFill="1" applyAlignment="1">
      <alignment horizontal="left"/>
    </xf>
    <xf numFmtId="41" fontId="30" fillId="0" borderId="0" xfId="1" applyFont="1" applyFill="1" applyBorder="1" applyAlignment="1">
      <alignment horizontal="right"/>
    </xf>
    <xf numFmtId="0" fontId="26" fillId="0" borderId="0" xfId="0" quotePrefix="1" applyFont="1" applyAlignment="1">
      <alignment horizontal="center" vertical="center"/>
    </xf>
    <xf numFmtId="49" fontId="30" fillId="0" borderId="0" xfId="0" applyNumberFormat="1" applyFont="1" applyFill="1" applyBorder="1" applyAlignment="1">
      <alignment horizontal="right" vertical="center"/>
    </xf>
    <xf numFmtId="0" fontId="38" fillId="0" borderId="1" xfId="2" applyNumberFormat="1" applyFont="1" applyFill="1" applyBorder="1" applyAlignment="1">
      <alignment horizontal="left" vertical="center" indent="3"/>
    </xf>
    <xf numFmtId="10" fontId="43" fillId="0" borderId="1" xfId="0" applyNumberFormat="1" applyFont="1" applyFill="1" applyBorder="1">
      <alignment vertical="center"/>
    </xf>
    <xf numFmtId="0" fontId="56" fillId="0" borderId="0" xfId="0" applyFont="1">
      <alignment vertical="center"/>
    </xf>
    <xf numFmtId="41" fontId="0" fillId="0" borderId="0" xfId="0" applyNumberFormat="1">
      <alignment vertical="center"/>
    </xf>
    <xf numFmtId="41" fontId="43" fillId="8" borderId="26" xfId="1" applyFont="1" applyFill="1" applyBorder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196" fontId="17" fillId="0" borderId="90" xfId="0" applyNumberFormat="1" applyFont="1" applyBorder="1" applyAlignment="1">
      <alignment vertical="center"/>
    </xf>
    <xf numFmtId="205" fontId="43" fillId="0" borderId="17" xfId="0" applyNumberFormat="1" applyFont="1" applyBorder="1" applyAlignment="1">
      <alignment horizontal="right" vertical="center"/>
    </xf>
    <xf numFmtId="0" fontId="16" fillId="0" borderId="90" xfId="0" applyFont="1" applyBorder="1" applyAlignment="1">
      <alignment vertical="center"/>
    </xf>
    <xf numFmtId="0" fontId="16" fillId="0" borderId="90" xfId="0" applyFont="1" applyFill="1" applyBorder="1" applyAlignment="1">
      <alignment vertical="center"/>
    </xf>
    <xf numFmtId="0" fontId="19" fillId="0" borderId="90" xfId="0" applyFont="1" applyBorder="1" applyAlignment="1">
      <alignment vertical="center"/>
    </xf>
    <xf numFmtId="196" fontId="43" fillId="0" borderId="90" xfId="0" applyNumberFormat="1" applyFont="1" applyBorder="1" applyAlignment="1">
      <alignment vertical="center"/>
    </xf>
    <xf numFmtId="196" fontId="1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8" borderId="0" xfId="0" applyFill="1" applyAlignment="1">
      <alignment vertical="center"/>
    </xf>
    <xf numFmtId="41" fontId="44" fillId="3" borderId="95" xfId="1" applyFont="1" applyFill="1" applyBorder="1">
      <alignment vertical="center"/>
    </xf>
    <xf numFmtId="41" fontId="44" fillId="3" borderId="96" xfId="1" applyFont="1" applyFill="1" applyBorder="1">
      <alignment vertical="center"/>
    </xf>
    <xf numFmtId="41" fontId="43" fillId="0" borderId="17" xfId="1" applyFont="1" applyFill="1" applyBorder="1" applyAlignment="1">
      <alignment horizontal="center" vertical="center" wrapText="1"/>
    </xf>
    <xf numFmtId="41" fontId="43" fillId="0" borderId="36" xfId="1" applyFont="1" applyFill="1" applyBorder="1" applyAlignment="1">
      <alignment vertical="center" wrapText="1"/>
    </xf>
    <xf numFmtId="41" fontId="43" fillId="0" borderId="36" xfId="1" applyFont="1" applyFill="1" applyBorder="1">
      <alignment vertical="center"/>
    </xf>
    <xf numFmtId="41" fontId="43" fillId="0" borderId="36" xfId="1" applyFont="1" applyFill="1" applyBorder="1" applyAlignment="1">
      <alignment horizontal="right" vertical="center"/>
    </xf>
    <xf numFmtId="41" fontId="43" fillId="8" borderId="17" xfId="1" applyFont="1" applyFill="1" applyBorder="1">
      <alignment vertical="center"/>
    </xf>
    <xf numFmtId="41" fontId="43" fillId="8" borderId="11" xfId="1" applyFont="1" applyFill="1" applyBorder="1" applyAlignment="1">
      <alignment horizontal="center" vertical="center" wrapText="1"/>
    </xf>
    <xf numFmtId="41" fontId="43" fillId="0" borderId="11" xfId="1" applyFont="1" applyFill="1" applyBorder="1" applyAlignment="1">
      <alignment horizontal="center" vertical="center" wrapText="1"/>
    </xf>
    <xf numFmtId="41" fontId="43" fillId="0" borderId="26" xfId="1" applyFont="1" applyFill="1" applyBorder="1">
      <alignment vertical="center"/>
    </xf>
    <xf numFmtId="41" fontId="43" fillId="13" borderId="17" xfId="1" applyFont="1" applyFill="1" applyBorder="1">
      <alignment vertical="center"/>
    </xf>
    <xf numFmtId="41" fontId="43" fillId="13" borderId="26" xfId="1" applyFont="1" applyFill="1" applyBorder="1">
      <alignment vertical="center"/>
    </xf>
    <xf numFmtId="199" fontId="43" fillId="0" borderId="6" xfId="0" applyNumberFormat="1" applyFont="1" applyBorder="1" applyAlignment="1">
      <alignment horizontal="center" vertical="center"/>
    </xf>
    <xf numFmtId="199" fontId="43" fillId="0" borderId="58" xfId="0" applyNumberFormat="1" applyFont="1" applyBorder="1" applyAlignment="1">
      <alignment horizontal="center" vertical="center"/>
    </xf>
    <xf numFmtId="196" fontId="38" fillId="3" borderId="50" xfId="0" applyNumberFormat="1" applyFont="1" applyFill="1" applyBorder="1" applyAlignment="1">
      <alignment horizontal="center" vertical="center"/>
    </xf>
    <xf numFmtId="41" fontId="43" fillId="0" borderId="26" xfId="1" applyFont="1" applyFill="1" applyBorder="1" applyAlignment="1">
      <alignment horizontal="center" vertical="center" wrapText="1"/>
    </xf>
    <xf numFmtId="41" fontId="43" fillId="8" borderId="11" xfId="1" applyFont="1" applyFill="1" applyBorder="1" applyAlignment="1">
      <alignment vertical="center" wrapText="1"/>
    </xf>
    <xf numFmtId="41" fontId="43" fillId="8" borderId="12" xfId="1" applyFont="1" applyFill="1" applyBorder="1" applyAlignment="1">
      <alignment horizontal="center" vertical="center" wrapText="1"/>
    </xf>
    <xf numFmtId="41" fontId="43" fillId="8" borderId="18" xfId="1" applyFont="1" applyFill="1" applyBorder="1" applyAlignment="1">
      <alignment horizontal="center" vertical="center" wrapText="1"/>
    </xf>
    <xf numFmtId="41" fontId="43" fillId="8" borderId="18" xfId="1" applyFont="1" applyFill="1" applyBorder="1">
      <alignment vertical="center"/>
    </xf>
    <xf numFmtId="0" fontId="40" fillId="3" borderId="99" xfId="0" applyNumberFormat="1" applyFont="1" applyFill="1" applyBorder="1" applyAlignment="1">
      <alignment horizontal="left" vertical="center"/>
    </xf>
    <xf numFmtId="41" fontId="43" fillId="8" borderId="36" xfId="1" applyFont="1" applyFill="1" applyBorder="1" applyAlignment="1">
      <alignment horizontal="right" vertical="center"/>
    </xf>
    <xf numFmtId="41" fontId="43" fillId="8" borderId="36" xfId="1" applyFont="1" applyFill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3" borderId="92" xfId="0" applyNumberFormat="1" applyFill="1" applyBorder="1" applyAlignment="1">
      <alignment vertical="center"/>
    </xf>
    <xf numFmtId="0" fontId="17" fillId="3" borderId="99" xfId="0" applyNumberFormat="1" applyFont="1" applyFill="1" applyBorder="1" applyAlignment="1">
      <alignment vertical="center"/>
    </xf>
    <xf numFmtId="0" fontId="17" fillId="3" borderId="100" xfId="0" applyNumberFormat="1" applyFont="1" applyFill="1" applyBorder="1" applyAlignment="1">
      <alignment vertical="center"/>
    </xf>
    <xf numFmtId="0" fontId="0" fillId="0" borderId="45" xfId="0" applyNumberFormat="1" applyFont="1" applyBorder="1" applyAlignment="1">
      <alignment vertical="center"/>
    </xf>
    <xf numFmtId="0" fontId="46" fillId="0" borderId="77" xfId="0" applyNumberFormat="1" applyFont="1" applyBorder="1" applyAlignment="1">
      <alignment vertical="center"/>
    </xf>
    <xf numFmtId="0" fontId="46" fillId="0" borderId="78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5" xfId="0" applyNumberFormat="1" applyBorder="1" applyAlignment="1">
      <alignment vertical="center"/>
    </xf>
    <xf numFmtId="0" fontId="17" fillId="0" borderId="90" xfId="0" applyNumberFormat="1" applyFont="1" applyBorder="1" applyAlignment="1">
      <alignment vertical="center"/>
    </xf>
    <xf numFmtId="0" fontId="49" fillId="0" borderId="120" xfId="1" applyNumberFormat="1" applyFont="1" applyBorder="1" applyAlignment="1">
      <alignment horizontal="center" vertical="center"/>
    </xf>
    <xf numFmtId="205" fontId="43" fillId="0" borderId="33" xfId="1" applyNumberFormat="1" applyFont="1" applyBorder="1" applyAlignment="1">
      <alignment horizontal="right" vertical="center"/>
    </xf>
    <xf numFmtId="205" fontId="43" fillId="0" borderId="33" xfId="1" applyNumberFormat="1" applyFont="1" applyFill="1" applyBorder="1" applyAlignment="1">
      <alignment horizontal="right" vertical="center"/>
    </xf>
    <xf numFmtId="205" fontId="44" fillId="3" borderId="43" xfId="1" applyNumberFormat="1" applyFont="1" applyFill="1" applyBorder="1" applyAlignment="1">
      <alignment horizontal="right" vertical="center"/>
    </xf>
    <xf numFmtId="0" fontId="49" fillId="0" borderId="117" xfId="1" applyNumberFormat="1" applyFont="1" applyFill="1" applyBorder="1" applyAlignment="1">
      <alignment horizontal="center" vertical="center"/>
    </xf>
    <xf numFmtId="205" fontId="43" fillId="0" borderId="11" xfId="0" applyNumberFormat="1" applyFont="1" applyBorder="1" applyAlignment="1">
      <alignment horizontal="right" vertical="center"/>
    </xf>
    <xf numFmtId="205" fontId="43" fillId="0" borderId="11" xfId="1" applyNumberFormat="1" applyFont="1" applyFill="1" applyBorder="1" applyAlignment="1">
      <alignment horizontal="right" vertical="center"/>
    </xf>
    <xf numFmtId="0" fontId="37" fillId="3" borderId="51" xfId="0" applyNumberFormat="1" applyFont="1" applyFill="1" applyBorder="1" applyAlignment="1">
      <alignment horizontal="center" vertical="center" shrinkToFit="1"/>
    </xf>
    <xf numFmtId="0" fontId="37" fillId="3" borderId="51" xfId="1" applyNumberFormat="1" applyFont="1" applyFill="1" applyBorder="1" applyAlignment="1">
      <alignment horizontal="center" vertical="center" wrapText="1" shrinkToFit="1"/>
    </xf>
    <xf numFmtId="205" fontId="30" fillId="3" borderId="43" xfId="1" applyNumberFormat="1" applyFont="1" applyFill="1" applyBorder="1" applyAlignment="1">
      <alignment horizontal="right" vertical="center"/>
    </xf>
    <xf numFmtId="41" fontId="37" fillId="3" borderId="72" xfId="1" applyNumberFormat="1" applyFont="1" applyFill="1" applyBorder="1" applyAlignment="1">
      <alignment horizontal="center" vertical="center"/>
    </xf>
    <xf numFmtId="9" fontId="43" fillId="0" borderId="12" xfId="2" applyFont="1" applyBorder="1" applyAlignment="1">
      <alignment horizontal="right" vertical="center"/>
    </xf>
    <xf numFmtId="9" fontId="43" fillId="0" borderId="18" xfId="2" applyFont="1" applyBorder="1" applyAlignment="1">
      <alignment horizontal="right" vertical="center"/>
    </xf>
    <xf numFmtId="9" fontId="43" fillId="0" borderId="35" xfId="2" applyFont="1" applyBorder="1" applyAlignment="1">
      <alignment horizontal="right" vertical="center"/>
    </xf>
    <xf numFmtId="205" fontId="44" fillId="3" borderId="44" xfId="1" applyNumberFormat="1" applyFont="1" applyFill="1" applyBorder="1" applyAlignment="1">
      <alignment horizontal="right" vertical="center"/>
    </xf>
    <xf numFmtId="205" fontId="43" fillId="8" borderId="11" xfId="1" applyNumberFormat="1" applyFont="1" applyFill="1" applyBorder="1" applyAlignment="1">
      <alignment horizontal="right" vertical="center"/>
    </xf>
    <xf numFmtId="205" fontId="43" fillId="8" borderId="17" xfId="1" applyNumberFormat="1" applyFont="1" applyFill="1" applyBorder="1" applyAlignment="1">
      <alignment horizontal="right" vertical="center"/>
    </xf>
    <xf numFmtId="205" fontId="43" fillId="8" borderId="33" xfId="1" applyNumberFormat="1" applyFont="1" applyFill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10" fontId="30" fillId="0" borderId="0" xfId="0" quotePrefix="1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vertical="center"/>
    </xf>
    <xf numFmtId="196" fontId="43" fillId="0" borderId="0" xfId="0" applyNumberFormat="1" applyFont="1" applyBorder="1" applyAlignment="1">
      <alignment vertical="center"/>
    </xf>
    <xf numFmtId="0" fontId="30" fillId="0" borderId="49" xfId="0" applyFont="1" applyBorder="1" applyAlignment="1">
      <alignment vertical="center"/>
    </xf>
    <xf numFmtId="196" fontId="43" fillId="0" borderId="1" xfId="0" applyNumberFormat="1" applyFont="1" applyBorder="1" applyAlignment="1">
      <alignment vertical="center"/>
    </xf>
    <xf numFmtId="0" fontId="38" fillId="4" borderId="29" xfId="0" applyFont="1" applyFill="1" applyBorder="1" applyAlignment="1">
      <alignment horizontal="center" vertical="center"/>
    </xf>
    <xf numFmtId="10" fontId="30" fillId="0" borderId="0" xfId="0" quotePrefix="1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0" fillId="0" borderId="49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79" xfId="0" applyFont="1" applyBorder="1">
      <alignment vertical="center"/>
    </xf>
    <xf numFmtId="0" fontId="0" fillId="0" borderId="0" xfId="0" applyFont="1">
      <alignment vertical="center"/>
    </xf>
    <xf numFmtId="0" fontId="30" fillId="0" borderId="118" xfId="0" applyFont="1" applyFill="1" applyBorder="1" applyAlignment="1">
      <alignment horizontal="center" vertical="center"/>
    </xf>
    <xf numFmtId="177" fontId="58" fillId="0" borderId="0" xfId="1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10" fillId="3" borderId="15" xfId="0" applyFont="1" applyFill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186" fontId="7" fillId="0" borderId="15" xfId="1" applyNumberFormat="1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41" fontId="14" fillId="0" borderId="0" xfId="4" applyFont="1" applyBorder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30" fillId="0" borderId="26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right" vertical="center"/>
    </xf>
    <xf numFmtId="0" fontId="59" fillId="0" borderId="11" xfId="3" applyFont="1" applyBorder="1" applyAlignment="1">
      <alignment horizontal="center" vertical="center" wrapText="1"/>
    </xf>
    <xf numFmtId="0" fontId="59" fillId="0" borderId="17" xfId="3" applyFont="1" applyBorder="1" applyAlignment="1">
      <alignment horizontal="center" vertical="center" wrapText="1"/>
    </xf>
    <xf numFmtId="0" fontId="59" fillId="0" borderId="17" xfId="3" applyFont="1" applyFill="1" applyBorder="1" applyAlignment="1">
      <alignment horizontal="center" vertical="center" wrapText="1"/>
    </xf>
    <xf numFmtId="0" fontId="59" fillId="3" borderId="14" xfId="3" applyFont="1" applyFill="1" applyBorder="1" applyAlignment="1">
      <alignment horizontal="center" vertical="center" wrapText="1"/>
    </xf>
    <xf numFmtId="0" fontId="59" fillId="0" borderId="26" xfId="3" applyFont="1" applyBorder="1" applyAlignment="1">
      <alignment horizontal="center" vertical="center" wrapText="1"/>
    </xf>
    <xf numFmtId="0" fontId="59" fillId="3" borderId="95" xfId="3" applyFont="1" applyFill="1" applyBorder="1" applyAlignment="1">
      <alignment horizontal="center" vertical="center" wrapText="1"/>
    </xf>
    <xf numFmtId="0" fontId="59" fillId="3" borderId="99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/>
    </xf>
    <xf numFmtId="0" fontId="61" fillId="3" borderId="62" xfId="0" applyFont="1" applyFill="1" applyBorder="1" applyAlignment="1">
      <alignment horizontal="center" vertical="center"/>
    </xf>
    <xf numFmtId="0" fontId="62" fillId="0" borderId="1" xfId="0" applyFont="1" applyFill="1" applyBorder="1">
      <alignment vertical="center"/>
    </xf>
    <xf numFmtId="0" fontId="59" fillId="3" borderId="99" xfId="0" applyFont="1" applyFill="1" applyBorder="1" applyAlignment="1">
      <alignment vertical="center"/>
    </xf>
    <xf numFmtId="0" fontId="59" fillId="0" borderId="77" xfId="0" applyFont="1" applyBorder="1">
      <alignment vertical="center"/>
    </xf>
    <xf numFmtId="0" fontId="59" fillId="0" borderId="1" xfId="0" applyFont="1" applyBorder="1">
      <alignment vertical="center"/>
    </xf>
    <xf numFmtId="0" fontId="59" fillId="0" borderId="0" xfId="0" applyFont="1">
      <alignment vertical="center"/>
    </xf>
    <xf numFmtId="41" fontId="42" fillId="6" borderId="51" xfId="1" applyFont="1" applyFill="1" applyBorder="1" applyAlignment="1">
      <alignment vertical="center"/>
    </xf>
    <xf numFmtId="41" fontId="41" fillId="0" borderId="51" xfId="1" applyFont="1" applyBorder="1">
      <alignment vertical="center"/>
    </xf>
    <xf numFmtId="0" fontId="38" fillId="0" borderId="36" xfId="1" applyNumberFormat="1" applyFont="1" applyFill="1" applyBorder="1" applyAlignment="1">
      <alignment horizontal="center" vertical="center" wrapText="1"/>
    </xf>
    <xf numFmtId="0" fontId="30" fillId="0" borderId="36" xfId="1" applyNumberFormat="1" applyFont="1" applyFill="1" applyBorder="1" applyAlignment="1">
      <alignment horizontal="center" vertical="center"/>
    </xf>
    <xf numFmtId="0" fontId="38" fillId="0" borderId="17" xfId="1" applyNumberFormat="1" applyFont="1" applyFill="1" applyBorder="1" applyAlignment="1">
      <alignment horizontal="center" vertical="center" wrapText="1"/>
    </xf>
    <xf numFmtId="0" fontId="30" fillId="0" borderId="17" xfId="1" applyNumberFormat="1" applyFont="1" applyFill="1" applyBorder="1" applyAlignment="1">
      <alignment horizontal="center" vertical="center"/>
    </xf>
    <xf numFmtId="0" fontId="30" fillId="0" borderId="17" xfId="1" applyNumberFormat="1" applyFont="1" applyFill="1" applyBorder="1" applyAlignment="1">
      <alignment horizontal="center" vertical="center" wrapText="1"/>
    </xf>
    <xf numFmtId="0" fontId="30" fillId="0" borderId="11" xfId="1" applyNumberFormat="1" applyFont="1" applyFill="1" applyBorder="1" applyAlignment="1">
      <alignment horizontal="center" vertical="center"/>
    </xf>
    <xf numFmtId="0" fontId="38" fillId="0" borderId="26" xfId="1" applyNumberFormat="1" applyFont="1" applyFill="1" applyBorder="1" applyAlignment="1">
      <alignment horizontal="center" vertical="center" wrapText="1"/>
    </xf>
    <xf numFmtId="0" fontId="30" fillId="0" borderId="26" xfId="1" applyNumberFormat="1" applyFont="1" applyFill="1" applyBorder="1" applyAlignment="1">
      <alignment horizontal="center" vertical="center"/>
    </xf>
    <xf numFmtId="200" fontId="41" fillId="7" borderId="95" xfId="1" applyNumberFormat="1" applyFont="1" applyFill="1" applyBorder="1" applyAlignment="1">
      <alignment horizontal="centerContinuous" vertical="center"/>
    </xf>
    <xf numFmtId="200" fontId="41" fillId="0" borderId="26" xfId="1" applyNumberFormat="1" applyFont="1" applyFill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3" borderId="7" xfId="1" applyNumberFormat="1" applyFont="1" applyFill="1" applyBorder="1" applyAlignment="1">
      <alignment horizontal="center" vertical="center"/>
    </xf>
    <xf numFmtId="0" fontId="38" fillId="3" borderId="67" xfId="1" applyNumberFormat="1" applyFont="1" applyFill="1" applyBorder="1" applyAlignment="1">
      <alignment horizontal="center" vertical="center"/>
    </xf>
    <xf numFmtId="0" fontId="30" fillId="7" borderId="43" xfId="1" applyNumberFormat="1" applyFont="1" applyFill="1" applyBorder="1" applyAlignment="1">
      <alignment horizontal="center" vertical="center"/>
    </xf>
    <xf numFmtId="200" fontId="41" fillId="0" borderId="11" xfId="1" applyNumberFormat="1" applyFont="1" applyFill="1" applyBorder="1" applyAlignment="1">
      <alignment vertical="center"/>
    </xf>
    <xf numFmtId="200" fontId="41" fillId="0" borderId="17" xfId="1" applyNumberFormat="1" applyFont="1" applyFill="1" applyBorder="1" applyAlignment="1">
      <alignment horizontal="center" vertical="center"/>
    </xf>
    <xf numFmtId="200" fontId="41" fillId="0" borderId="17" xfId="1" applyNumberFormat="1" applyFont="1" applyFill="1" applyBorder="1" applyAlignment="1">
      <alignment vertical="center"/>
    </xf>
    <xf numFmtId="0" fontId="38" fillId="11" borderId="51" xfId="1" applyNumberFormat="1" applyFont="1" applyFill="1" applyBorder="1" applyAlignment="1">
      <alignment horizontal="center" vertical="center"/>
    </xf>
    <xf numFmtId="200" fontId="41" fillId="0" borderId="26" xfId="1" applyNumberFormat="1" applyFont="1" applyFill="1" applyBorder="1" applyAlignment="1">
      <alignment horizontal="center" vertical="center"/>
    </xf>
    <xf numFmtId="0" fontId="38" fillId="11" borderId="8" xfId="1" applyNumberFormat="1" applyFont="1" applyFill="1" applyBorder="1" applyAlignment="1">
      <alignment horizontal="center" vertical="center"/>
    </xf>
    <xf numFmtId="183" fontId="41" fillId="3" borderId="8" xfId="1" applyNumberFormat="1" applyFont="1" applyFill="1" applyBorder="1" applyAlignment="1">
      <alignment horizontal="center" vertical="center"/>
    </xf>
    <xf numFmtId="0" fontId="37" fillId="3" borderId="51" xfId="1" applyNumberFormat="1" applyFont="1" applyFill="1" applyBorder="1" applyAlignment="1">
      <alignment horizontal="center" vertical="center" shrinkToFit="1"/>
    </xf>
    <xf numFmtId="0" fontId="38" fillId="3" borderId="4" xfId="0" applyFont="1" applyFill="1" applyBorder="1" applyAlignment="1">
      <alignment horizontal="center" vertical="center"/>
    </xf>
    <xf numFmtId="183" fontId="41" fillId="7" borderId="95" xfId="1" applyNumberFormat="1" applyFont="1" applyFill="1" applyBorder="1" applyAlignment="1">
      <alignment horizontal="centerContinuous" vertical="center"/>
    </xf>
    <xf numFmtId="183" fontId="41" fillId="3" borderId="38" xfId="1" applyNumberFormat="1" applyFont="1" applyFill="1" applyBorder="1" applyAlignment="1">
      <alignment vertical="center"/>
    </xf>
    <xf numFmtId="183" fontId="41" fillId="3" borderId="18" xfId="1" applyNumberFormat="1" applyFont="1" applyFill="1" applyBorder="1" applyAlignment="1">
      <alignment vertical="center"/>
    </xf>
    <xf numFmtId="183" fontId="41" fillId="3" borderId="27" xfId="1" applyNumberFormat="1" applyFont="1" applyFill="1" applyBorder="1" applyAlignment="1">
      <alignment horizontal="center" vertical="center"/>
    </xf>
    <xf numFmtId="183" fontId="41" fillId="3" borderId="66" xfId="1" applyNumberFormat="1" applyFont="1" applyFill="1" applyBorder="1" applyAlignment="1">
      <alignment horizontal="center" vertical="center"/>
    </xf>
    <xf numFmtId="183" fontId="41" fillId="3" borderId="38" xfId="1" applyNumberFormat="1" applyFont="1" applyFill="1" applyBorder="1" applyAlignment="1">
      <alignment horizontal="center" vertical="center"/>
    </xf>
    <xf numFmtId="183" fontId="41" fillId="3" borderId="18" xfId="1" applyNumberFormat="1" applyFont="1" applyFill="1" applyBorder="1" applyAlignment="1">
      <alignment horizontal="center" vertical="center"/>
    </xf>
    <xf numFmtId="183" fontId="41" fillId="3" borderId="27" xfId="0" applyNumberFormat="1" applyFont="1" applyFill="1" applyBorder="1">
      <alignment vertical="center"/>
    </xf>
    <xf numFmtId="183" fontId="41" fillId="7" borderId="96" xfId="1" applyNumberFormat="1" applyFont="1" applyFill="1" applyBorder="1" applyAlignment="1">
      <alignment vertical="center"/>
    </xf>
    <xf numFmtId="43" fontId="0" fillId="0" borderId="0" xfId="0" applyNumberFormat="1">
      <alignment vertical="center"/>
    </xf>
    <xf numFmtId="41" fontId="38" fillId="0" borderId="128" xfId="1" applyFont="1" applyFill="1" applyBorder="1" applyAlignment="1">
      <alignment horizontal="center" vertical="center"/>
    </xf>
    <xf numFmtId="41" fontId="38" fillId="0" borderId="129" xfId="1" applyFont="1" applyFill="1" applyBorder="1" applyAlignment="1">
      <alignment horizontal="center" vertical="center"/>
    </xf>
    <xf numFmtId="41" fontId="38" fillId="0" borderId="127" xfId="1" applyFont="1" applyFill="1" applyBorder="1" applyAlignment="1">
      <alignment horizontal="center" vertical="center"/>
    </xf>
    <xf numFmtId="200" fontId="30" fillId="7" borderId="42" xfId="1" applyNumberFormat="1" applyFont="1" applyFill="1" applyBorder="1" applyAlignment="1">
      <alignment horizontal="center" vertical="center"/>
    </xf>
    <xf numFmtId="183" fontId="42" fillId="7" borderId="95" xfId="1" applyNumberFormat="1" applyFont="1" applyFill="1" applyBorder="1" applyAlignment="1">
      <alignment horizontal="center" vertical="center"/>
    </xf>
    <xf numFmtId="200" fontId="41" fillId="3" borderId="51" xfId="1" applyNumberFormat="1" applyFont="1" applyFill="1" applyBorder="1" applyAlignment="1">
      <alignment vertical="center"/>
    </xf>
    <xf numFmtId="183" fontId="42" fillId="7" borderId="43" xfId="1" applyNumberFormat="1" applyFont="1" applyFill="1" applyBorder="1" applyAlignment="1">
      <alignment vertical="center"/>
    </xf>
    <xf numFmtId="183" fontId="42" fillId="7" borderId="95" xfId="1" applyNumberFormat="1" applyFont="1" applyFill="1" applyBorder="1" applyAlignment="1">
      <alignment vertical="center"/>
    </xf>
    <xf numFmtId="183" fontId="42" fillId="3" borderId="51" xfId="1" applyNumberFormat="1" applyFont="1" applyFill="1" applyBorder="1" applyAlignment="1">
      <alignment vertical="center"/>
    </xf>
    <xf numFmtId="0" fontId="38" fillId="3" borderId="51" xfId="1" applyNumberFormat="1" applyFont="1" applyFill="1" applyBorder="1" applyAlignment="1">
      <alignment horizontal="center" vertical="center"/>
    </xf>
    <xf numFmtId="0" fontId="38" fillId="7" borderId="95" xfId="1" applyNumberFormat="1" applyFont="1" applyFill="1" applyBorder="1" applyAlignment="1">
      <alignment horizontal="centerContinuous" vertical="center"/>
    </xf>
    <xf numFmtId="183" fontId="42" fillId="3" borderId="51" xfId="1" applyNumberFormat="1" applyFont="1" applyFill="1" applyBorder="1" applyAlignment="1">
      <alignment horizontal="center" vertical="center"/>
    </xf>
    <xf numFmtId="183" fontId="41" fillId="7" borderId="95" xfId="1" applyNumberFormat="1" applyFont="1" applyFill="1" applyBorder="1" applyAlignment="1">
      <alignment horizontal="center" vertical="center"/>
    </xf>
    <xf numFmtId="200" fontId="41" fillId="0" borderId="36" xfId="1" applyNumberFormat="1" applyFont="1" applyFill="1" applyBorder="1" applyAlignment="1">
      <alignment horizontal="center" vertical="center"/>
    </xf>
    <xf numFmtId="183" fontId="41" fillId="3" borderId="14" xfId="1" applyNumberFormat="1" applyFont="1" applyFill="1" applyBorder="1" applyAlignment="1">
      <alignment vertical="center"/>
    </xf>
    <xf numFmtId="183" fontId="41" fillId="6" borderId="36" xfId="1" applyNumberFormat="1" applyFont="1" applyFill="1" applyBorder="1" applyAlignment="1">
      <alignment vertical="center"/>
    </xf>
    <xf numFmtId="183" fontId="41" fillId="6" borderId="17" xfId="1" applyNumberFormat="1" applyFont="1" applyFill="1" applyBorder="1" applyAlignment="1">
      <alignment vertical="center"/>
    </xf>
    <xf numFmtId="183" fontId="41" fillId="6" borderId="26" xfId="1" applyNumberFormat="1" applyFont="1" applyFill="1" applyBorder="1" applyAlignment="1">
      <alignment vertical="center"/>
    </xf>
    <xf numFmtId="183" fontId="41" fillId="6" borderId="17" xfId="1" applyNumberFormat="1" applyFont="1" applyFill="1" applyBorder="1" applyAlignment="1">
      <alignment horizontal="center" vertical="center"/>
    </xf>
    <xf numFmtId="183" fontId="41" fillId="6" borderId="26" xfId="1" applyNumberFormat="1" applyFont="1" applyFill="1" applyBorder="1" applyAlignment="1">
      <alignment horizontal="center" vertical="center"/>
    </xf>
    <xf numFmtId="0" fontId="38" fillId="3" borderId="14" xfId="1" applyNumberFormat="1" applyFont="1" applyFill="1" applyBorder="1" applyAlignment="1">
      <alignment horizontal="center" vertical="center" wrapText="1"/>
    </xf>
    <xf numFmtId="0" fontId="30" fillId="3" borderId="14" xfId="1" applyNumberFormat="1" applyFont="1" applyFill="1" applyBorder="1" applyAlignment="1">
      <alignment horizontal="center" vertical="center"/>
    </xf>
    <xf numFmtId="200" fontId="41" fillId="3" borderId="14" xfId="1" applyNumberFormat="1" applyFont="1" applyFill="1" applyBorder="1" applyAlignment="1">
      <alignment horizontal="center" vertical="center"/>
    </xf>
    <xf numFmtId="41" fontId="30" fillId="3" borderId="14" xfId="1" applyFont="1" applyFill="1" applyBorder="1" applyAlignment="1">
      <alignment horizontal="center" vertical="center"/>
    </xf>
    <xf numFmtId="200" fontId="41" fillId="3" borderId="14" xfId="1" applyNumberFormat="1" applyFont="1" applyFill="1" applyBorder="1" applyAlignment="1">
      <alignment vertical="center"/>
    </xf>
    <xf numFmtId="0" fontId="38" fillId="6" borderId="81" xfId="1" applyNumberFormat="1" applyFont="1" applyFill="1" applyBorder="1" applyAlignment="1">
      <alignment horizontal="center" vertical="center"/>
    </xf>
    <xf numFmtId="0" fontId="30" fillId="6" borderId="51" xfId="0" applyNumberFormat="1" applyFont="1" applyFill="1" applyBorder="1" applyAlignment="1">
      <alignment horizontal="center" vertical="center"/>
    </xf>
    <xf numFmtId="0" fontId="41" fillId="6" borderId="51" xfId="1" applyNumberFormat="1" applyFont="1" applyFill="1" applyBorder="1" applyAlignment="1">
      <alignment vertical="center"/>
    </xf>
    <xf numFmtId="200" fontId="41" fillId="6" borderId="51" xfId="1" applyNumberFormat="1" applyFont="1" applyFill="1" applyBorder="1" applyAlignment="1">
      <alignment vertical="center"/>
    </xf>
    <xf numFmtId="43" fontId="42" fillId="6" borderId="51" xfId="1" applyNumberFormat="1" applyFont="1" applyFill="1" applyBorder="1" applyAlignment="1">
      <alignment horizontal="right" vertical="center"/>
    </xf>
    <xf numFmtId="0" fontId="30" fillId="6" borderId="8" xfId="1" applyNumberFormat="1" applyFont="1" applyFill="1" applyBorder="1" applyAlignment="1">
      <alignment vertical="center" wrapText="1"/>
    </xf>
    <xf numFmtId="0" fontId="30" fillId="6" borderId="51" xfId="0" applyFont="1" applyFill="1" applyBorder="1" applyAlignment="1">
      <alignment vertical="center"/>
    </xf>
    <xf numFmtId="183" fontId="41" fillId="0" borderId="37" xfId="1" applyNumberFormat="1" applyFont="1" applyFill="1" applyBorder="1" applyAlignment="1">
      <alignment vertical="center"/>
    </xf>
    <xf numFmtId="183" fontId="41" fillId="0" borderId="13" xfId="1" applyNumberFormat="1" applyFont="1" applyFill="1" applyBorder="1" applyAlignment="1">
      <alignment horizontal="center" vertical="center"/>
    </xf>
    <xf numFmtId="183" fontId="41" fillId="0" borderId="13" xfId="1" applyNumberFormat="1" applyFont="1" applyFill="1" applyBorder="1" applyAlignment="1">
      <alignment vertical="center"/>
    </xf>
    <xf numFmtId="183" fontId="41" fillId="0" borderId="40" xfId="1" applyNumberFormat="1" applyFont="1" applyFill="1" applyBorder="1" applyAlignment="1">
      <alignment vertical="center"/>
    </xf>
    <xf numFmtId="183" fontId="41" fillId="6" borderId="11" xfId="1" applyNumberFormat="1" applyFont="1" applyFill="1" applyBorder="1" applyAlignment="1">
      <alignment vertical="center"/>
    </xf>
    <xf numFmtId="9" fontId="41" fillId="6" borderId="38" xfId="0" applyNumberFormat="1" applyFont="1" applyFill="1" applyBorder="1" applyAlignment="1">
      <alignment horizontal="center" vertical="center"/>
    </xf>
    <xf numFmtId="9" fontId="41" fillId="6" borderId="18" xfId="0" applyNumberFormat="1" applyFont="1" applyFill="1" applyBorder="1" applyAlignment="1">
      <alignment horizontal="center" vertical="center"/>
    </xf>
    <xf numFmtId="9" fontId="41" fillId="6" borderId="27" xfId="0" applyNumberFormat="1" applyFont="1" applyFill="1" applyBorder="1" applyAlignment="1">
      <alignment horizontal="center" vertical="center"/>
    </xf>
    <xf numFmtId="179" fontId="27" fillId="0" borderId="31" xfId="2" applyNumberFormat="1" applyFont="1" applyFill="1" applyBorder="1" applyAlignment="1">
      <alignment horizontal="center" vertical="center"/>
    </xf>
    <xf numFmtId="179" fontId="27" fillId="0" borderId="34" xfId="2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90" xfId="0" applyFont="1" applyBorder="1" applyAlignment="1">
      <alignment vertical="center"/>
    </xf>
    <xf numFmtId="196" fontId="43" fillId="0" borderId="79" xfId="0" applyNumberFormat="1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107" xfId="0" applyBorder="1">
      <alignment vertical="center"/>
    </xf>
    <xf numFmtId="210" fontId="33" fillId="0" borderId="7" xfId="0" applyNumberFormat="1" applyFont="1" applyFill="1" applyBorder="1" applyAlignment="1">
      <alignment horizontal="center" vertical="center"/>
    </xf>
    <xf numFmtId="41" fontId="41" fillId="0" borderId="7" xfId="1" applyFont="1" applyBorder="1">
      <alignment vertical="center"/>
    </xf>
    <xf numFmtId="9" fontId="41" fillId="6" borderId="67" xfId="0" applyNumberFormat="1" applyFont="1" applyFill="1" applyBorder="1" applyAlignment="1">
      <alignment horizontal="center" vertical="center"/>
    </xf>
    <xf numFmtId="210" fontId="33" fillId="0" borderId="14" xfId="0" applyNumberFormat="1" applyFont="1" applyFill="1" applyBorder="1" applyAlignment="1">
      <alignment horizontal="center" vertical="center"/>
    </xf>
    <xf numFmtId="41" fontId="41" fillId="0" borderId="14" xfId="1" applyFont="1" applyFill="1" applyBorder="1">
      <alignment vertical="center"/>
    </xf>
    <xf numFmtId="41" fontId="41" fillId="0" borderId="14" xfId="1" applyFont="1" applyBorder="1">
      <alignment vertical="center"/>
    </xf>
    <xf numFmtId="9" fontId="41" fillId="6" borderId="66" xfId="0" applyNumberFormat="1" applyFont="1" applyFill="1" applyBorder="1" applyAlignment="1">
      <alignment horizontal="center" vertical="center"/>
    </xf>
    <xf numFmtId="210" fontId="33" fillId="0" borderId="51" xfId="0" applyNumberFormat="1" applyFont="1" applyFill="1" applyBorder="1" applyAlignment="1">
      <alignment horizontal="center" vertical="center"/>
    </xf>
    <xf numFmtId="10" fontId="44" fillId="0" borderId="48" xfId="1" applyNumberFormat="1" applyFont="1" applyFill="1" applyBorder="1">
      <alignment vertical="center"/>
    </xf>
    <xf numFmtId="10" fontId="44" fillId="0" borderId="124" xfId="0" applyNumberFormat="1" applyFont="1" applyFill="1" applyBorder="1">
      <alignment vertical="center"/>
    </xf>
    <xf numFmtId="10" fontId="44" fillId="0" borderId="18" xfId="2" applyNumberFormat="1" applyFont="1" applyFill="1" applyBorder="1">
      <alignment vertical="center"/>
    </xf>
    <xf numFmtId="0" fontId="60" fillId="0" borderId="12" xfId="0" applyFont="1" applyBorder="1">
      <alignment vertical="center"/>
    </xf>
    <xf numFmtId="0" fontId="60" fillId="0" borderId="27" xfId="0" applyFont="1" applyBorder="1">
      <alignment vertical="center"/>
    </xf>
    <xf numFmtId="0" fontId="60" fillId="3" borderId="66" xfId="0" applyFont="1" applyFill="1" applyBorder="1">
      <alignment vertical="center"/>
    </xf>
    <xf numFmtId="0" fontId="60" fillId="0" borderId="38" xfId="0" applyFont="1" applyBorder="1" applyAlignment="1">
      <alignment vertical="center" wrapText="1"/>
    </xf>
    <xf numFmtId="0" fontId="60" fillId="0" borderId="18" xfId="0" applyFont="1" applyBorder="1">
      <alignment vertical="center"/>
    </xf>
    <xf numFmtId="0" fontId="60" fillId="3" borderId="96" xfId="0" applyFont="1" applyFill="1" applyBorder="1">
      <alignment vertical="center"/>
    </xf>
    <xf numFmtId="176" fontId="7" fillId="0" borderId="77" xfId="0" applyNumberFormat="1" applyFont="1" applyFill="1" applyBorder="1" applyAlignment="1">
      <alignment horizontal="center" vertical="center"/>
    </xf>
    <xf numFmtId="0" fontId="29" fillId="0" borderId="77" xfId="0" applyFont="1" applyFill="1" applyBorder="1" applyAlignment="1">
      <alignment horizontal="center" vertical="center"/>
    </xf>
    <xf numFmtId="202" fontId="29" fillId="0" borderId="77" xfId="0" applyNumberFormat="1" applyFont="1" applyFill="1" applyBorder="1">
      <alignment vertical="center"/>
    </xf>
    <xf numFmtId="49" fontId="30" fillId="0" borderId="77" xfId="0" applyNumberFormat="1" applyFont="1" applyFill="1" applyBorder="1" applyAlignment="1">
      <alignment horizontal="right" vertical="center"/>
    </xf>
    <xf numFmtId="0" fontId="62" fillId="0" borderId="77" xfId="0" applyFont="1" applyFill="1" applyBorder="1">
      <alignment vertical="center"/>
    </xf>
    <xf numFmtId="0" fontId="29" fillId="0" borderId="77" xfId="0" applyFont="1" applyFill="1" applyBorder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202" fontId="29" fillId="0" borderId="0" xfId="0" applyNumberFormat="1" applyFont="1" applyFill="1" applyBorder="1">
      <alignment vertical="center"/>
    </xf>
    <xf numFmtId="193" fontId="29" fillId="0" borderId="0" xfId="0" applyNumberFormat="1" applyFont="1" applyFill="1" applyBorder="1">
      <alignment vertical="center"/>
    </xf>
    <xf numFmtId="0" fontId="62" fillId="0" borderId="0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63" fillId="0" borderId="0" xfId="0" applyFont="1" applyFill="1" applyBorder="1">
      <alignment vertical="center"/>
    </xf>
    <xf numFmtId="182" fontId="64" fillId="0" borderId="51" xfId="1" applyNumberFormat="1" applyFont="1" applyFill="1" applyBorder="1" applyAlignment="1">
      <alignment horizontal="right" vertical="center"/>
    </xf>
    <xf numFmtId="185" fontId="64" fillId="0" borderId="51" xfId="1" applyNumberFormat="1" applyFont="1" applyFill="1" applyBorder="1" applyAlignment="1">
      <alignment horizontal="right" vertical="center"/>
    </xf>
    <xf numFmtId="182" fontId="64" fillId="0" borderId="51" xfId="1" quotePrefix="1" applyNumberFormat="1" applyFont="1" applyFill="1" applyBorder="1" applyAlignment="1">
      <alignment horizontal="right" vertical="center"/>
    </xf>
    <xf numFmtId="10" fontId="64" fillId="0" borderId="51" xfId="2" applyNumberFormat="1" applyFont="1" applyFill="1" applyBorder="1" applyAlignment="1">
      <alignment horizontal="right" vertical="center"/>
    </xf>
    <xf numFmtId="49" fontId="30" fillId="0" borderId="77" xfId="0" quotePrefix="1" applyNumberFormat="1" applyFont="1" applyBorder="1" applyAlignment="1"/>
    <xf numFmtId="0" fontId="30" fillId="0" borderId="47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179" fontId="66" fillId="0" borderId="36" xfId="2" applyNumberFormat="1" applyFont="1" applyBorder="1" applyAlignment="1">
      <alignment vertical="center" wrapText="1"/>
    </xf>
    <xf numFmtId="41" fontId="66" fillId="0" borderId="36" xfId="3" applyNumberFormat="1" applyFont="1" applyBorder="1" applyAlignment="1">
      <alignment vertical="center" wrapText="1"/>
    </xf>
    <xf numFmtId="41" fontId="41" fillId="0" borderId="36" xfId="1" applyFont="1" applyFill="1" applyBorder="1" applyAlignment="1">
      <alignment vertical="center"/>
    </xf>
    <xf numFmtId="9" fontId="66" fillId="0" borderId="11" xfId="2" applyNumberFormat="1" applyFont="1" applyBorder="1" applyAlignment="1">
      <alignment vertical="center"/>
    </xf>
    <xf numFmtId="209" fontId="66" fillId="0" borderId="17" xfId="2" applyNumberFormat="1" applyFont="1" applyBorder="1" applyAlignment="1">
      <alignment horizontal="right" vertical="center" wrapText="1"/>
    </xf>
    <xf numFmtId="41" fontId="66" fillId="0" borderId="17" xfId="3" applyNumberFormat="1" applyFont="1" applyBorder="1" applyAlignment="1">
      <alignment vertical="center" wrapText="1"/>
    </xf>
    <xf numFmtId="41" fontId="66" fillId="0" borderId="17" xfId="4" applyNumberFormat="1" applyFont="1" applyBorder="1">
      <alignment vertical="center"/>
    </xf>
    <xf numFmtId="9" fontId="66" fillId="0" borderId="17" xfId="2" applyNumberFormat="1" applyFont="1" applyBorder="1" applyAlignment="1">
      <alignment vertical="center"/>
    </xf>
    <xf numFmtId="179" fontId="41" fillId="0" borderId="26" xfId="2" applyNumberFormat="1" applyFont="1" applyFill="1" applyBorder="1" applyAlignment="1">
      <alignment horizontal="right" vertical="center"/>
    </xf>
    <xf numFmtId="41" fontId="41" fillId="0" borderId="26" xfId="1" applyFont="1" applyFill="1" applyBorder="1" applyAlignment="1">
      <alignment vertical="center"/>
    </xf>
    <xf numFmtId="41" fontId="66" fillId="0" borderId="26" xfId="4" applyNumberFormat="1" applyFont="1" applyBorder="1">
      <alignment vertical="center"/>
    </xf>
    <xf numFmtId="9" fontId="66" fillId="0" borderId="26" xfId="2" applyNumberFormat="1" applyFont="1" applyBorder="1" applyAlignment="1">
      <alignment vertical="center"/>
    </xf>
    <xf numFmtId="41" fontId="66" fillId="3" borderId="14" xfId="0" applyNumberFormat="1" applyFont="1" applyFill="1" applyBorder="1">
      <alignment vertical="center"/>
    </xf>
    <xf numFmtId="9" fontId="66" fillId="3" borderId="14" xfId="2" applyFont="1" applyFill="1" applyBorder="1" applyAlignment="1">
      <alignment vertical="center"/>
    </xf>
    <xf numFmtId="41" fontId="66" fillId="0" borderId="36" xfId="1" applyFont="1" applyBorder="1" applyAlignment="1">
      <alignment horizontal="right" vertical="center"/>
    </xf>
    <xf numFmtId="9" fontId="66" fillId="0" borderId="17" xfId="3" applyNumberFormat="1" applyFont="1" applyBorder="1" applyAlignment="1">
      <alignment vertical="center" wrapText="1"/>
    </xf>
    <xf numFmtId="41" fontId="66" fillId="0" borderId="17" xfId="4" applyFont="1" applyBorder="1">
      <alignment vertical="center"/>
    </xf>
    <xf numFmtId="178" fontId="41" fillId="0" borderId="26" xfId="0" applyNumberFormat="1" applyFont="1" applyFill="1" applyBorder="1" applyAlignment="1">
      <alignment horizontal="right" vertical="center"/>
    </xf>
    <xf numFmtId="0" fontId="66" fillId="0" borderId="58" xfId="3" applyFont="1" applyBorder="1" applyAlignment="1">
      <alignment vertical="center" wrapText="1"/>
    </xf>
    <xf numFmtId="41" fontId="66" fillId="0" borderId="26" xfId="4" applyFont="1" applyBorder="1">
      <alignment vertical="center"/>
    </xf>
    <xf numFmtId="0" fontId="66" fillId="3" borderId="86" xfId="0" applyFont="1" applyFill="1" applyBorder="1" applyAlignment="1">
      <alignment horizontal="center" vertical="center"/>
    </xf>
    <xf numFmtId="0" fontId="66" fillId="3" borderId="50" xfId="0" applyFont="1" applyFill="1" applyBorder="1" applyAlignment="1">
      <alignment horizontal="center" vertical="center"/>
    </xf>
    <xf numFmtId="41" fontId="66" fillId="3" borderId="95" xfId="1" applyFont="1" applyFill="1" applyBorder="1">
      <alignment vertical="center"/>
    </xf>
    <xf numFmtId="9" fontId="66" fillId="3" borderId="43" xfId="2" applyFont="1" applyFill="1" applyBorder="1" applyAlignment="1">
      <alignment vertical="center"/>
    </xf>
    <xf numFmtId="179" fontId="66" fillId="0" borderId="36" xfId="2" applyNumberFormat="1" applyFont="1" applyFill="1" applyBorder="1" applyAlignment="1">
      <alignment vertical="center"/>
    </xf>
    <xf numFmtId="182" fontId="41" fillId="0" borderId="17" xfId="0" applyNumberFormat="1" applyFont="1" applyFill="1" applyBorder="1" applyAlignment="1">
      <alignment horizontal="right" vertical="center"/>
    </xf>
    <xf numFmtId="41" fontId="41" fillId="0" borderId="17" xfId="1" applyFont="1" applyFill="1" applyBorder="1" applyAlignment="1">
      <alignment vertical="center"/>
    </xf>
    <xf numFmtId="179" fontId="66" fillId="0" borderId="17" xfId="2" applyNumberFormat="1" applyFont="1" applyFill="1" applyBorder="1" applyAlignment="1">
      <alignment vertical="center"/>
    </xf>
    <xf numFmtId="178" fontId="41" fillId="0" borderId="36" xfId="0" applyNumberFormat="1" applyFont="1" applyFill="1" applyBorder="1" applyAlignment="1">
      <alignment horizontal="right" vertical="center"/>
    </xf>
    <xf numFmtId="178" fontId="41" fillId="0" borderId="17" xfId="0" applyNumberFormat="1" applyFont="1" applyFill="1" applyBorder="1" applyAlignment="1">
      <alignment horizontal="right" vertical="center"/>
    </xf>
    <xf numFmtId="41" fontId="41" fillId="0" borderId="11" xfId="1" applyFont="1" applyFill="1" applyBorder="1" applyAlignment="1">
      <alignment vertical="center"/>
    </xf>
    <xf numFmtId="179" fontId="66" fillId="0" borderId="11" xfId="2" applyNumberFormat="1" applyFont="1" applyFill="1" applyBorder="1" applyAlignment="1">
      <alignment vertical="center"/>
    </xf>
    <xf numFmtId="41" fontId="41" fillId="0" borderId="17" xfId="1" applyFont="1" applyFill="1" applyBorder="1" applyAlignment="1">
      <alignment horizontal="right" vertical="center"/>
    </xf>
    <xf numFmtId="179" fontId="66" fillId="0" borderId="26" xfId="2" applyNumberFormat="1" applyFont="1" applyFill="1" applyBorder="1" applyAlignment="1">
      <alignment vertical="center"/>
    </xf>
    <xf numFmtId="204" fontId="41" fillId="3" borderId="11" xfId="0" applyNumberFormat="1" applyFont="1" applyFill="1" applyBorder="1">
      <alignment vertical="center"/>
    </xf>
    <xf numFmtId="41" fontId="42" fillId="4" borderId="14" xfId="1" applyFont="1" applyFill="1" applyBorder="1" applyAlignment="1">
      <alignment vertical="center"/>
    </xf>
    <xf numFmtId="179" fontId="66" fillId="4" borderId="14" xfId="2" applyNumberFormat="1" applyFont="1" applyFill="1" applyBorder="1" applyAlignment="1">
      <alignment vertical="center"/>
    </xf>
    <xf numFmtId="190" fontId="41" fillId="0" borderId="36" xfId="0" applyNumberFormat="1" applyFont="1" applyFill="1" applyBorder="1" applyAlignment="1">
      <alignment horizontal="right" vertical="center"/>
    </xf>
    <xf numFmtId="41" fontId="41" fillId="0" borderId="36" xfId="1" applyFont="1" applyFill="1" applyBorder="1" applyAlignment="1">
      <alignment horizontal="right" vertical="center"/>
    </xf>
    <xf numFmtId="0" fontId="42" fillId="4" borderId="51" xfId="0" applyFont="1" applyFill="1" applyBorder="1" applyAlignment="1">
      <alignment horizontal="right" vertical="center"/>
    </xf>
    <xf numFmtId="41" fontId="42" fillId="4" borderId="51" xfId="1" applyFont="1" applyFill="1" applyBorder="1" applyAlignment="1">
      <alignment vertical="center"/>
    </xf>
    <xf numFmtId="179" fontId="66" fillId="4" borderId="51" xfId="2" applyNumberFormat="1" applyFont="1" applyFill="1" applyBorder="1" applyAlignment="1">
      <alignment vertical="center"/>
    </xf>
    <xf numFmtId="179" fontId="41" fillId="0" borderId="17" xfId="2" applyNumberFormat="1" applyFont="1" applyFill="1" applyBorder="1" applyAlignment="1">
      <alignment horizontal="right" vertical="center"/>
    </xf>
    <xf numFmtId="191" fontId="41" fillId="0" borderId="33" xfId="0" applyNumberFormat="1" applyFont="1" applyFill="1" applyBorder="1" applyAlignment="1">
      <alignment horizontal="right" vertical="center"/>
    </xf>
    <xf numFmtId="208" fontId="41" fillId="0" borderId="17" xfId="2" applyNumberFormat="1" applyFont="1" applyFill="1" applyBorder="1" applyAlignment="1">
      <alignment horizontal="right" vertical="center"/>
    </xf>
    <xf numFmtId="10" fontId="41" fillId="0" borderId="17" xfId="0" applyNumberFormat="1" applyFont="1" applyFill="1" applyBorder="1" applyAlignment="1">
      <alignment horizontal="right" vertical="center"/>
    </xf>
    <xf numFmtId="10" fontId="41" fillId="0" borderId="17" xfId="2" applyNumberFormat="1" applyFont="1" applyFill="1" applyBorder="1" applyAlignment="1">
      <alignment horizontal="right" vertical="center"/>
    </xf>
    <xf numFmtId="41" fontId="42" fillId="11" borderId="95" xfId="1" applyFont="1" applyFill="1" applyBorder="1" applyAlignment="1">
      <alignment vertical="center"/>
    </xf>
    <xf numFmtId="179" fontId="69" fillId="11" borderId="95" xfId="2" applyNumberFormat="1" applyFont="1" applyFill="1" applyBorder="1" applyAlignment="1">
      <alignment vertical="center"/>
    </xf>
    <xf numFmtId="203" fontId="41" fillId="0" borderId="47" xfId="0" applyNumberFormat="1" applyFont="1" applyFill="1" applyBorder="1" applyAlignment="1">
      <alignment horizontal="center" vertical="center"/>
    </xf>
    <xf numFmtId="0" fontId="41" fillId="0" borderId="47" xfId="0" applyFont="1" applyFill="1" applyBorder="1">
      <alignment vertical="center"/>
    </xf>
    <xf numFmtId="192" fontId="41" fillId="0" borderId="47" xfId="1" applyNumberFormat="1" applyFont="1" applyFill="1" applyBorder="1">
      <alignment vertical="center"/>
    </xf>
    <xf numFmtId="0" fontId="66" fillId="0" borderId="47" xfId="0" applyFont="1" applyFill="1" applyBorder="1">
      <alignment vertical="center"/>
    </xf>
    <xf numFmtId="202" fontId="41" fillId="0" borderId="17" xfId="0" applyNumberFormat="1" applyFont="1" applyFill="1" applyBorder="1">
      <alignment vertical="center"/>
    </xf>
    <xf numFmtId="204" fontId="41" fillId="0" borderId="17" xfId="0" applyNumberFormat="1" applyFont="1" applyFill="1" applyBorder="1">
      <alignment vertical="center"/>
    </xf>
    <xf numFmtId="193" fontId="41" fillId="0" borderId="17" xfId="0" applyNumberFormat="1" applyFont="1" applyFill="1" applyBorder="1">
      <alignment vertical="center"/>
    </xf>
    <xf numFmtId="0" fontId="66" fillId="0" borderId="17" xfId="0" applyFont="1" applyFill="1" applyBorder="1">
      <alignment vertical="center"/>
    </xf>
    <xf numFmtId="202" fontId="41" fillId="0" borderId="32" xfId="0" applyNumberFormat="1" applyFont="1" applyFill="1" applyBorder="1">
      <alignment vertical="center"/>
    </xf>
    <xf numFmtId="204" fontId="41" fillId="0" borderId="32" xfId="0" applyNumberFormat="1" applyFont="1" applyFill="1" applyBorder="1">
      <alignment vertical="center"/>
    </xf>
    <xf numFmtId="193" fontId="41" fillId="0" borderId="32" xfId="0" applyNumberFormat="1" applyFont="1" applyFill="1" applyBorder="1">
      <alignment vertical="center"/>
    </xf>
    <xf numFmtId="0" fontId="66" fillId="0" borderId="32" xfId="0" applyFont="1" applyFill="1" applyBorder="1">
      <alignment vertical="center"/>
    </xf>
    <xf numFmtId="41" fontId="41" fillId="0" borderId="17" xfId="1" applyFont="1" applyFill="1" applyBorder="1" applyAlignment="1">
      <alignment horizontal="center" vertical="center"/>
    </xf>
    <xf numFmtId="9" fontId="66" fillId="0" borderId="17" xfId="2" applyFont="1" applyFill="1" applyBorder="1" applyAlignment="1">
      <alignment vertical="center"/>
    </xf>
    <xf numFmtId="179" fontId="41" fillId="0" borderId="33" xfId="2" applyNumberFormat="1" applyFont="1" applyFill="1" applyBorder="1" applyAlignment="1">
      <alignment horizontal="right" vertical="center"/>
    </xf>
    <xf numFmtId="41" fontId="41" fillId="0" borderId="33" xfId="1" applyFont="1" applyFill="1" applyBorder="1" applyAlignment="1">
      <alignment horizontal="right" vertical="center"/>
    </xf>
    <xf numFmtId="9" fontId="66" fillId="0" borderId="33" xfId="2" applyFont="1" applyFill="1" applyBorder="1" applyAlignment="1">
      <alignment vertical="center"/>
    </xf>
    <xf numFmtId="41" fontId="42" fillId="4" borderId="95" xfId="1" applyFont="1" applyFill="1" applyBorder="1" applyAlignment="1">
      <alignment horizontal="right" vertical="center"/>
    </xf>
    <xf numFmtId="41" fontId="42" fillId="4" borderId="95" xfId="1" applyFont="1" applyFill="1" applyBorder="1" applyAlignment="1">
      <alignment vertical="center"/>
    </xf>
    <xf numFmtId="9" fontId="66" fillId="4" borderId="95" xfId="2" applyFont="1" applyFill="1" applyBorder="1" applyAlignment="1">
      <alignment vertical="center"/>
    </xf>
    <xf numFmtId="205" fontId="43" fillId="7" borderId="11" xfId="0" applyNumberFormat="1" applyFont="1" applyFill="1" applyBorder="1" applyAlignment="1">
      <alignment horizontal="right" vertical="center"/>
    </xf>
    <xf numFmtId="205" fontId="43" fillId="8" borderId="17" xfId="0" applyNumberFormat="1" applyFont="1" applyFill="1" applyBorder="1" applyAlignment="1">
      <alignment horizontal="right" vertical="center"/>
    </xf>
    <xf numFmtId="10" fontId="44" fillId="0" borderId="125" xfId="1" applyNumberFormat="1" applyFont="1" applyFill="1" applyBorder="1">
      <alignment vertical="center"/>
    </xf>
    <xf numFmtId="10" fontId="44" fillId="0" borderId="13" xfId="1" applyNumberFormat="1" applyFont="1" applyFill="1" applyBorder="1">
      <alignment vertical="center"/>
    </xf>
    <xf numFmtId="10" fontId="44" fillId="0" borderId="133" xfId="1" applyNumberFormat="1" applyFont="1" applyFill="1" applyBorder="1">
      <alignment vertical="center"/>
    </xf>
    <xf numFmtId="10" fontId="44" fillId="0" borderId="18" xfId="0" applyNumberFormat="1" applyFont="1" applyFill="1" applyBorder="1">
      <alignment vertical="center"/>
    </xf>
    <xf numFmtId="0" fontId="43" fillId="0" borderId="36" xfId="1" applyNumberFormat="1" applyFont="1" applyFill="1" applyBorder="1" applyAlignment="1">
      <alignment vertical="center" shrinkToFit="1"/>
    </xf>
    <xf numFmtId="0" fontId="43" fillId="0" borderId="17" xfId="1" applyNumberFormat="1" applyFont="1" applyFill="1" applyBorder="1" applyAlignment="1">
      <alignment vertical="center" shrinkToFit="1"/>
    </xf>
    <xf numFmtId="0" fontId="43" fillId="0" borderId="26" xfId="1" applyNumberFormat="1" applyFont="1" applyFill="1" applyBorder="1" applyAlignment="1">
      <alignment vertical="center" shrinkToFit="1"/>
    </xf>
    <xf numFmtId="0" fontId="44" fillId="6" borderId="51" xfId="1" applyNumberFormat="1" applyFont="1" applyFill="1" applyBorder="1" applyAlignment="1">
      <alignment vertical="center" shrinkToFit="1"/>
    </xf>
    <xf numFmtId="0" fontId="30" fillId="0" borderId="7" xfId="1" applyNumberFormat="1" applyFont="1" applyFill="1" applyBorder="1" applyAlignment="1">
      <alignment vertical="center" shrinkToFit="1"/>
    </xf>
    <xf numFmtId="0" fontId="43" fillId="0" borderId="51" xfId="1" applyNumberFormat="1" applyFont="1" applyFill="1" applyBorder="1" applyAlignment="1">
      <alignment vertical="center" shrinkToFit="1"/>
    </xf>
    <xf numFmtId="0" fontId="43" fillId="0" borderId="14" xfId="1" applyNumberFormat="1" applyFont="1" applyFill="1" applyBorder="1" applyAlignment="1">
      <alignment vertical="center" shrinkToFit="1"/>
    </xf>
    <xf numFmtId="0" fontId="44" fillId="0" borderId="43" xfId="1" applyNumberFormat="1" applyFont="1" applyFill="1" applyBorder="1" applyAlignment="1">
      <alignment vertical="center" shrinkToFit="1"/>
    </xf>
    <xf numFmtId="0" fontId="30" fillId="0" borderId="51" xfId="1" applyNumberFormat="1" applyFont="1" applyFill="1" applyBorder="1" applyAlignment="1">
      <alignment vertical="center" shrinkToFit="1"/>
    </xf>
    <xf numFmtId="0" fontId="43" fillId="0" borderId="51" xfId="1" applyNumberFormat="1" applyFont="1" applyFill="1" applyBorder="1" applyAlignment="1">
      <alignment vertical="center" wrapText="1" shrinkToFit="1"/>
    </xf>
    <xf numFmtId="0" fontId="43" fillId="0" borderId="7" xfId="1" applyNumberFormat="1" applyFont="1" applyFill="1" applyBorder="1" applyAlignment="1">
      <alignment vertical="center" wrapText="1" shrinkToFit="1"/>
    </xf>
    <xf numFmtId="10" fontId="44" fillId="5" borderId="18" xfId="2" applyNumberFormat="1" applyFont="1" applyFill="1" applyBorder="1">
      <alignment vertical="center"/>
    </xf>
    <xf numFmtId="196" fontId="38" fillId="0" borderId="0" xfId="0" applyNumberFormat="1" applyFont="1" applyFill="1" applyBorder="1" applyAlignment="1">
      <alignment horizontal="right" vertical="center"/>
    </xf>
    <xf numFmtId="0" fontId="71" fillId="0" borderId="0" xfId="0" applyFont="1">
      <alignment vertical="center"/>
    </xf>
    <xf numFmtId="183" fontId="71" fillId="0" borderId="0" xfId="0" applyNumberFormat="1" applyFont="1">
      <alignment vertical="center"/>
    </xf>
    <xf numFmtId="41" fontId="0" fillId="0" borderId="0" xfId="1" applyFont="1" applyAlignment="1">
      <alignment vertical="center"/>
    </xf>
    <xf numFmtId="41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0" fontId="57" fillId="14" borderId="134" xfId="0" applyFont="1" applyFill="1" applyBorder="1" applyAlignment="1">
      <alignment horizontal="center" vertical="center"/>
    </xf>
    <xf numFmtId="0" fontId="30" fillId="0" borderId="134" xfId="0" applyFont="1" applyBorder="1" applyAlignment="1">
      <alignment horizontal="center" vertical="center"/>
    </xf>
    <xf numFmtId="0" fontId="57" fillId="14" borderId="134" xfId="0" applyFont="1" applyFill="1" applyBorder="1" applyAlignment="1">
      <alignment horizontal="center" vertical="center" shrinkToFit="1"/>
    </xf>
    <xf numFmtId="41" fontId="50" fillId="15" borderId="134" xfId="1" applyFont="1" applyFill="1" applyBorder="1" applyAlignment="1">
      <alignment horizontal="center" vertical="center"/>
    </xf>
    <xf numFmtId="10" fontId="50" fillId="15" borderId="134" xfId="2" applyNumberFormat="1" applyFont="1" applyFill="1" applyBorder="1" applyAlignment="1">
      <alignment horizontal="center" vertical="center"/>
    </xf>
    <xf numFmtId="206" fontId="50" fillId="15" borderId="134" xfId="1" applyNumberFormat="1" applyFont="1" applyFill="1" applyBorder="1" applyAlignment="1">
      <alignment horizontal="center" vertical="center"/>
    </xf>
    <xf numFmtId="206" fontId="50" fillId="15" borderId="134" xfId="2" applyNumberFormat="1" applyFont="1" applyFill="1" applyBorder="1" applyAlignment="1">
      <alignment horizontal="center" vertical="center"/>
    </xf>
    <xf numFmtId="207" fontId="50" fillId="15" borderId="134" xfId="1" applyNumberFormat="1" applyFont="1" applyFill="1" applyBorder="1" applyAlignment="1">
      <alignment horizontal="center" vertical="center"/>
    </xf>
    <xf numFmtId="41" fontId="64" fillId="0" borderId="1" xfId="1" applyNumberFormat="1" applyFont="1" applyBorder="1" applyAlignment="1">
      <alignment horizontal="center" vertical="center"/>
    </xf>
    <xf numFmtId="41" fontId="38" fillId="3" borderId="4" xfId="1" applyFont="1" applyFill="1" applyBorder="1" applyAlignment="1">
      <alignment horizontal="center" vertical="center"/>
    </xf>
    <xf numFmtId="41" fontId="41" fillId="0" borderId="0" xfId="1" applyFont="1" applyFill="1" applyBorder="1">
      <alignment vertical="center"/>
    </xf>
    <xf numFmtId="41" fontId="27" fillId="0" borderId="0" xfId="1" applyFont="1" applyFill="1" applyBorder="1" applyAlignment="1">
      <alignment horizontal="center" vertical="center"/>
    </xf>
    <xf numFmtId="41" fontId="26" fillId="0" borderId="1" xfId="1" applyFont="1" applyFill="1" applyBorder="1" applyAlignment="1">
      <alignment horizontal="center" vertical="center"/>
    </xf>
    <xf numFmtId="41" fontId="43" fillId="0" borderId="0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30" fillId="0" borderId="0" xfId="1" quotePrefix="1" applyFont="1" applyFill="1" applyBorder="1" applyAlignment="1">
      <alignment vertical="center"/>
    </xf>
    <xf numFmtId="41" fontId="30" fillId="0" borderId="0" xfId="1" quotePrefix="1" applyFont="1" applyFill="1" applyBorder="1" applyAlignment="1">
      <alignment horizontal="left" vertical="center"/>
    </xf>
    <xf numFmtId="41" fontId="33" fillId="0" borderId="0" xfId="1" applyFont="1" applyBorder="1">
      <alignment vertical="center"/>
    </xf>
    <xf numFmtId="10" fontId="41" fillId="0" borderId="26" xfId="2" applyNumberFormat="1" applyFont="1" applyFill="1" applyBorder="1" applyAlignment="1">
      <alignment horizontal="right" vertical="center"/>
    </xf>
    <xf numFmtId="9" fontId="44" fillId="0" borderId="0" xfId="2" applyFont="1" applyFill="1" applyBorder="1" applyAlignment="1">
      <alignment horizontal="center" vertical="center"/>
    </xf>
    <xf numFmtId="41" fontId="44" fillId="16" borderId="51" xfId="0" applyNumberFormat="1" applyFont="1" applyFill="1" applyBorder="1">
      <alignment vertical="center"/>
    </xf>
    <xf numFmtId="0" fontId="46" fillId="0" borderId="0" xfId="0" applyFont="1" applyFill="1">
      <alignment vertical="center"/>
    </xf>
    <xf numFmtId="179" fontId="0" fillId="0" borderId="0" xfId="2" applyNumberFormat="1" applyFont="1" applyFill="1" applyBorder="1" applyAlignment="1">
      <alignment horizontal="center" vertical="center"/>
    </xf>
    <xf numFmtId="179" fontId="70" fillId="0" borderId="0" xfId="2" applyNumberFormat="1" applyFont="1" applyFill="1" applyBorder="1" applyAlignment="1">
      <alignment horizontal="center" vertical="center"/>
    </xf>
    <xf numFmtId="41" fontId="46" fillId="0" borderId="0" xfId="0" applyNumberFormat="1" applyFont="1" applyFill="1" applyBorder="1">
      <alignment vertical="center"/>
    </xf>
    <xf numFmtId="179" fontId="0" fillId="0" borderId="0" xfId="2" applyNumberFormat="1" applyFont="1" applyFill="1" applyBorder="1" applyAlignment="1">
      <alignment horizontal="left" vertical="center"/>
    </xf>
    <xf numFmtId="10" fontId="46" fillId="0" borderId="0" xfId="0" applyNumberFormat="1" applyFont="1" applyFill="1" applyBorder="1">
      <alignment vertical="center"/>
    </xf>
    <xf numFmtId="41" fontId="73" fillId="0" borderId="0" xfId="1" applyFont="1" applyFill="1" applyBorder="1" applyAlignment="1">
      <alignment horizontal="center" vertical="center"/>
    </xf>
    <xf numFmtId="41" fontId="74" fillId="0" borderId="0" xfId="1" applyFont="1" applyFill="1" applyBorder="1" applyAlignment="1">
      <alignment horizontal="center" vertical="center"/>
    </xf>
    <xf numFmtId="41" fontId="74" fillId="0" borderId="0" xfId="1" applyFont="1" applyFill="1" applyBorder="1">
      <alignment vertical="center"/>
    </xf>
    <xf numFmtId="41" fontId="46" fillId="0" borderId="0" xfId="1" applyNumberFormat="1" applyFont="1" applyFill="1">
      <alignment vertical="center"/>
    </xf>
    <xf numFmtId="196" fontId="0" fillId="3" borderId="99" xfId="0" applyNumberFormat="1" applyFont="1" applyFill="1" applyBorder="1" applyAlignment="1">
      <alignment horizontal="center" vertical="center"/>
    </xf>
    <xf numFmtId="197" fontId="46" fillId="3" borderId="99" xfId="1" applyNumberFormat="1" applyFont="1" applyFill="1" applyBorder="1">
      <alignment vertical="center"/>
    </xf>
    <xf numFmtId="0" fontId="46" fillId="3" borderId="99" xfId="0" applyFont="1" applyFill="1" applyBorder="1">
      <alignment vertical="center"/>
    </xf>
    <xf numFmtId="179" fontId="0" fillId="3" borderId="99" xfId="2" applyNumberFormat="1" applyFont="1" applyFill="1" applyBorder="1" applyAlignment="1">
      <alignment vertical="center"/>
    </xf>
    <xf numFmtId="179" fontId="0" fillId="3" borderId="99" xfId="2" applyNumberFormat="1" applyFont="1" applyFill="1" applyBorder="1" applyAlignment="1">
      <alignment horizontal="center" vertical="center"/>
    </xf>
    <xf numFmtId="179" fontId="0" fillId="3" borderId="100" xfId="2" applyNumberFormat="1" applyFont="1" applyFill="1" applyBorder="1" applyAlignment="1">
      <alignment horizontal="center" vertical="center"/>
    </xf>
    <xf numFmtId="0" fontId="46" fillId="0" borderId="45" xfId="0" applyFont="1" applyFill="1" applyBorder="1">
      <alignment vertical="center"/>
    </xf>
    <xf numFmtId="196" fontId="73" fillId="0" borderId="77" xfId="0" applyNumberFormat="1" applyFont="1" applyFill="1" applyBorder="1" applyAlignment="1">
      <alignment horizontal="center" vertical="center"/>
    </xf>
    <xf numFmtId="41" fontId="0" fillId="0" borderId="77" xfId="1" applyFont="1" applyFill="1" applyBorder="1" applyAlignment="1">
      <alignment horizontal="center" vertical="center"/>
    </xf>
    <xf numFmtId="196" fontId="0" fillId="0" borderId="77" xfId="0" applyNumberFormat="1" applyFont="1" applyFill="1" applyBorder="1" applyAlignment="1">
      <alignment horizontal="center" vertical="center"/>
    </xf>
    <xf numFmtId="197" fontId="46" fillId="0" borderId="77" xfId="1" applyNumberFormat="1" applyFont="1" applyFill="1" applyBorder="1">
      <alignment vertical="center"/>
    </xf>
    <xf numFmtId="0" fontId="46" fillId="0" borderId="77" xfId="0" applyFont="1" applyFill="1" applyBorder="1">
      <alignment vertical="center"/>
    </xf>
    <xf numFmtId="179" fontId="0" fillId="0" borderId="77" xfId="2" applyNumberFormat="1" applyFont="1" applyFill="1" applyBorder="1" applyAlignment="1">
      <alignment vertical="center"/>
    </xf>
    <xf numFmtId="179" fontId="0" fillId="0" borderId="77" xfId="2" applyNumberFormat="1" applyFont="1" applyFill="1" applyBorder="1" applyAlignment="1">
      <alignment horizontal="center" vertical="center"/>
    </xf>
    <xf numFmtId="179" fontId="0" fillId="0" borderId="78" xfId="2" applyNumberFormat="1" applyFont="1" applyFill="1" applyBorder="1" applyAlignment="1">
      <alignment horizontal="center" vertical="center"/>
    </xf>
    <xf numFmtId="0" fontId="46" fillId="0" borderId="15" xfId="0" applyFont="1" applyBorder="1">
      <alignment vertical="center"/>
    </xf>
    <xf numFmtId="0" fontId="73" fillId="3" borderId="56" xfId="0" applyNumberFormat="1" applyFont="1" applyFill="1" applyBorder="1" applyAlignment="1">
      <alignment vertical="center"/>
    </xf>
    <xf numFmtId="41" fontId="46" fillId="0" borderId="90" xfId="1" applyFont="1" applyBorder="1">
      <alignment vertical="center"/>
    </xf>
    <xf numFmtId="41" fontId="46" fillId="0" borderId="0" xfId="1" applyFont="1">
      <alignment vertical="center"/>
    </xf>
    <xf numFmtId="41" fontId="46" fillId="0" borderId="0" xfId="1" applyNumberFormat="1" applyFont="1">
      <alignment vertical="center"/>
    </xf>
    <xf numFmtId="0" fontId="46" fillId="0" borderId="0" xfId="0" applyFont="1">
      <alignment vertical="center"/>
    </xf>
    <xf numFmtId="0" fontId="46" fillId="0" borderId="15" xfId="0" applyFont="1" applyBorder="1" applyAlignment="1">
      <alignment vertical="center" wrapText="1"/>
    </xf>
    <xf numFmtId="0" fontId="73" fillId="3" borderId="7" xfId="2" applyNumberFormat="1" applyFont="1" applyFill="1" applyBorder="1" applyAlignment="1">
      <alignment horizontal="center" vertical="center" wrapText="1"/>
    </xf>
    <xf numFmtId="0" fontId="73" fillId="3" borderId="7" xfId="0" applyNumberFormat="1" applyFont="1" applyFill="1" applyBorder="1" applyAlignment="1">
      <alignment horizontal="center" vertical="center" wrapText="1"/>
    </xf>
    <xf numFmtId="0" fontId="73" fillId="0" borderId="7" xfId="0" applyNumberFormat="1" applyFont="1" applyFill="1" applyBorder="1" applyAlignment="1">
      <alignment horizontal="center" vertical="center" wrapText="1"/>
    </xf>
    <xf numFmtId="0" fontId="73" fillId="3" borderId="36" xfId="1" applyNumberFormat="1" applyFont="1" applyFill="1" applyBorder="1" applyAlignment="1">
      <alignment horizontal="center" vertical="center" wrapText="1"/>
    </xf>
    <xf numFmtId="0" fontId="73" fillId="3" borderId="38" xfId="1" applyNumberFormat="1" applyFont="1" applyFill="1" applyBorder="1" applyAlignment="1">
      <alignment horizontal="center" vertical="center" wrapText="1"/>
    </xf>
    <xf numFmtId="0" fontId="46" fillId="0" borderId="9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6" fillId="0" borderId="90" xfId="0" applyFont="1" applyFill="1" applyBorder="1" applyAlignment="1">
      <alignment vertical="center" wrapText="1"/>
    </xf>
    <xf numFmtId="179" fontId="72" fillId="0" borderId="70" xfId="2" applyNumberFormat="1" applyFont="1" applyFill="1" applyBorder="1" applyAlignment="1">
      <alignment vertical="center"/>
    </xf>
    <xf numFmtId="0" fontId="46" fillId="0" borderId="0" xfId="0" applyFont="1" applyFill="1" applyAlignment="1">
      <alignment vertical="center" wrapText="1"/>
    </xf>
    <xf numFmtId="179" fontId="76" fillId="8" borderId="22" xfId="2" applyNumberFormat="1" applyFont="1" applyFill="1" applyBorder="1">
      <alignment vertical="center"/>
    </xf>
    <xf numFmtId="179" fontId="76" fillId="8" borderId="71" xfId="2" applyNumberFormat="1" applyFont="1" applyFill="1" applyBorder="1">
      <alignment vertical="center"/>
    </xf>
    <xf numFmtId="0" fontId="74" fillId="0" borderId="90" xfId="0" applyFont="1" applyBorder="1">
      <alignment vertical="center"/>
    </xf>
    <xf numFmtId="41" fontId="72" fillId="3" borderId="79" xfId="1" applyFont="1" applyFill="1" applyBorder="1" applyAlignment="1">
      <alignment horizontal="center" vertical="center"/>
    </xf>
    <xf numFmtId="41" fontId="77" fillId="0" borderId="0" xfId="1" applyFont="1">
      <alignment vertical="center"/>
    </xf>
    <xf numFmtId="0" fontId="74" fillId="0" borderId="0" xfId="0" applyFont="1">
      <alignment vertical="center"/>
    </xf>
    <xf numFmtId="0" fontId="46" fillId="0" borderId="49" xfId="0" applyFont="1" applyBorder="1">
      <alignment vertical="center"/>
    </xf>
    <xf numFmtId="196" fontId="46" fillId="0" borderId="1" xfId="0" applyNumberFormat="1" applyFont="1" applyBorder="1">
      <alignment vertical="center"/>
    </xf>
    <xf numFmtId="49" fontId="46" fillId="0" borderId="99" xfId="0" applyNumberFormat="1" applyFont="1" applyBorder="1" applyAlignment="1">
      <alignment vertical="center"/>
    </xf>
    <xf numFmtId="49" fontId="46" fillId="0" borderId="99" xfId="0" applyNumberFormat="1" applyFont="1" applyBorder="1" applyAlignment="1">
      <alignment horizontal="center" vertical="center"/>
    </xf>
    <xf numFmtId="41" fontId="46" fillId="0" borderId="1" xfId="1" applyFont="1" applyBorder="1">
      <alignment vertical="center"/>
    </xf>
    <xf numFmtId="179" fontId="46" fillId="0" borderId="1" xfId="2" applyNumberFormat="1" applyFont="1" applyBorder="1">
      <alignment vertical="center"/>
    </xf>
    <xf numFmtId="41" fontId="46" fillId="0" borderId="79" xfId="1" applyFont="1" applyBorder="1">
      <alignment vertical="center"/>
    </xf>
    <xf numFmtId="41" fontId="76" fillId="0" borderId="0" xfId="1" applyFont="1">
      <alignment vertical="center"/>
    </xf>
    <xf numFmtId="196" fontId="46" fillId="0" borderId="0" xfId="0" applyNumberFormat="1" applyFont="1">
      <alignment vertical="center"/>
    </xf>
    <xf numFmtId="10" fontId="0" fillId="0" borderId="77" xfId="0" quotePrefix="1" applyNumberFormat="1" applyFont="1" applyFill="1" applyBorder="1" applyAlignment="1">
      <alignment horizontal="center" vertical="center"/>
    </xf>
    <xf numFmtId="179" fontId="46" fillId="0" borderId="0" xfId="2" applyNumberFormat="1" applyFont="1">
      <alignment vertical="center"/>
    </xf>
    <xf numFmtId="0" fontId="76" fillId="0" borderId="0" xfId="0" applyFont="1">
      <alignment vertical="center"/>
    </xf>
    <xf numFmtId="0" fontId="72" fillId="0" borderId="0" xfId="0" applyFont="1">
      <alignment vertical="center"/>
    </xf>
    <xf numFmtId="0" fontId="74" fillId="0" borderId="0" xfId="0" applyFont="1" applyFill="1">
      <alignment vertical="center"/>
    </xf>
    <xf numFmtId="0" fontId="72" fillId="0" borderId="0" xfId="0" applyFont="1" applyFill="1">
      <alignment vertical="center"/>
    </xf>
    <xf numFmtId="41" fontId="74" fillId="0" borderId="0" xfId="1" applyNumberFormat="1" applyFont="1">
      <alignment vertical="center"/>
    </xf>
    <xf numFmtId="198" fontId="46" fillId="0" borderId="0" xfId="1" applyNumberFormat="1" applyFont="1">
      <alignment vertical="center"/>
    </xf>
    <xf numFmtId="196" fontId="74" fillId="0" borderId="0" xfId="0" applyNumberFormat="1" applyFont="1" applyFill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46" fillId="0" borderId="0" xfId="1" applyFont="1" applyBorder="1" applyAlignment="1">
      <alignment horizontal="center" vertical="center"/>
    </xf>
    <xf numFmtId="0" fontId="73" fillId="5" borderId="30" xfId="0" applyFont="1" applyFill="1" applyBorder="1" applyAlignment="1">
      <alignment vertical="center"/>
    </xf>
    <xf numFmtId="0" fontId="75" fillId="5" borderId="30" xfId="0" applyFont="1" applyFill="1" applyBorder="1" applyAlignment="1">
      <alignment vertical="center"/>
    </xf>
    <xf numFmtId="0" fontId="74" fillId="5" borderId="30" xfId="0" applyFont="1" applyFill="1" applyBorder="1" applyAlignment="1">
      <alignment vertical="center"/>
    </xf>
    <xf numFmtId="41" fontId="73" fillId="9" borderId="74" xfId="1" applyFont="1" applyFill="1" applyBorder="1" applyAlignment="1">
      <alignment vertical="center"/>
    </xf>
    <xf numFmtId="41" fontId="73" fillId="9" borderId="76" xfId="1" applyFont="1" applyFill="1" applyBorder="1" applyAlignment="1">
      <alignment vertical="center"/>
    </xf>
    <xf numFmtId="41" fontId="74" fillId="9" borderId="74" xfId="1" applyFont="1" applyFill="1" applyBorder="1" applyAlignment="1">
      <alignment vertical="center"/>
    </xf>
    <xf numFmtId="41" fontId="74" fillId="9" borderId="76" xfId="1" applyFont="1" applyFill="1" applyBorder="1" applyAlignment="1">
      <alignment vertical="center"/>
    </xf>
    <xf numFmtId="0" fontId="74" fillId="5" borderId="30" xfId="0" applyFont="1" applyFill="1" applyBorder="1">
      <alignment vertical="center"/>
    </xf>
    <xf numFmtId="0" fontId="74" fillId="5" borderId="29" xfId="0" applyFont="1" applyFill="1" applyBorder="1">
      <alignment vertical="center"/>
    </xf>
    <xf numFmtId="196" fontId="73" fillId="0" borderId="0" xfId="0" applyNumberFormat="1" applyFont="1" applyFill="1" applyBorder="1" applyAlignment="1">
      <alignment horizontal="center" vertical="center"/>
    </xf>
    <xf numFmtId="41" fontId="74" fillId="9" borderId="68" xfId="1" applyFont="1" applyFill="1" applyBorder="1" applyAlignment="1">
      <alignment horizontal="center" vertical="center"/>
    </xf>
    <xf numFmtId="41" fontId="72" fillId="9" borderId="0" xfId="1" applyFont="1" applyFill="1" applyBorder="1" applyAlignment="1">
      <alignment horizontal="center" vertical="center"/>
    </xf>
    <xf numFmtId="41" fontId="74" fillId="9" borderId="0" xfId="1" applyFont="1" applyFill="1" applyBorder="1" applyAlignment="1">
      <alignment horizontal="center" vertical="center"/>
    </xf>
    <xf numFmtId="0" fontId="74" fillId="0" borderId="0" xfId="0" applyFont="1" applyFill="1" applyBorder="1">
      <alignment vertical="center"/>
    </xf>
    <xf numFmtId="41" fontId="73" fillId="0" borderId="23" xfId="1" applyFont="1" applyFill="1" applyBorder="1" applyAlignment="1">
      <alignment vertical="center"/>
    </xf>
    <xf numFmtId="41" fontId="74" fillId="0" borderId="23" xfId="1" applyFont="1" applyFill="1" applyBorder="1" applyAlignment="1">
      <alignment vertical="center"/>
    </xf>
    <xf numFmtId="41" fontId="72" fillId="0" borderId="0" xfId="1" applyFont="1" applyFill="1" applyBorder="1" applyAlignment="1">
      <alignment horizontal="center" vertical="center"/>
    </xf>
    <xf numFmtId="41" fontId="74" fillId="0" borderId="0" xfId="1" applyFont="1" applyFill="1">
      <alignment vertical="center"/>
    </xf>
    <xf numFmtId="41" fontId="74" fillId="12" borderId="0" xfId="1" applyFont="1" applyFill="1" applyBorder="1">
      <alignment vertical="center"/>
    </xf>
    <xf numFmtId="0" fontId="0" fillId="0" borderId="0" xfId="0" applyNumberFormat="1" applyFont="1">
      <alignment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3" borderId="92" xfId="0" applyNumberFormat="1" applyFont="1" applyFill="1" applyBorder="1">
      <alignment vertical="center"/>
    </xf>
    <xf numFmtId="0" fontId="46" fillId="3" borderId="99" xfId="0" applyNumberFormat="1" applyFont="1" applyFill="1" applyBorder="1">
      <alignment vertical="center"/>
    </xf>
    <xf numFmtId="0" fontId="46" fillId="3" borderId="99" xfId="1" applyNumberFormat="1" applyFont="1" applyFill="1" applyBorder="1">
      <alignment vertical="center"/>
    </xf>
    <xf numFmtId="0" fontId="46" fillId="3" borderId="100" xfId="1" applyNumberFormat="1" applyFont="1" applyFill="1" applyBorder="1">
      <alignment vertical="center"/>
    </xf>
    <xf numFmtId="0" fontId="0" fillId="0" borderId="0" xfId="1" applyNumberFormat="1" applyFont="1" applyFill="1" applyBorder="1" applyAlignment="1">
      <alignment horizontal="center" vertical="center"/>
    </xf>
    <xf numFmtId="0" fontId="46" fillId="0" borderId="0" xfId="1" applyNumberFormat="1" applyFont="1">
      <alignment vertical="center"/>
    </xf>
    <xf numFmtId="0" fontId="0" fillId="0" borderId="15" xfId="0" applyNumberFormat="1" applyFont="1" applyBorder="1">
      <alignment vertical="center"/>
    </xf>
    <xf numFmtId="0" fontId="46" fillId="0" borderId="0" xfId="0" applyNumberFormat="1" applyFont="1" applyBorder="1">
      <alignment vertical="center"/>
    </xf>
    <xf numFmtId="0" fontId="73" fillId="0" borderId="0" xfId="1" applyNumberFormat="1" applyFont="1" applyFill="1" applyBorder="1" applyAlignment="1">
      <alignment vertical="center"/>
    </xf>
    <xf numFmtId="0" fontId="46" fillId="0" borderId="0" xfId="1" applyNumberFormat="1" applyFont="1" applyBorder="1">
      <alignment vertical="center"/>
    </xf>
    <xf numFmtId="0" fontId="46" fillId="0" borderId="90" xfId="1" applyNumberFormat="1" applyFont="1" applyBorder="1">
      <alignment vertical="center"/>
    </xf>
    <xf numFmtId="0" fontId="73" fillId="3" borderId="56" xfId="1" applyNumberFormat="1" applyFont="1" applyFill="1" applyBorder="1" applyAlignment="1">
      <alignment vertical="center" wrapText="1"/>
    </xf>
    <xf numFmtId="0" fontId="73" fillId="5" borderId="56" xfId="1" applyNumberFormat="1" applyFont="1" applyFill="1" applyBorder="1" applyAlignment="1">
      <alignment vertical="center" wrapText="1"/>
    </xf>
    <xf numFmtId="0" fontId="73" fillId="5" borderId="3" xfId="1" applyNumberFormat="1" applyFont="1" applyFill="1" applyBorder="1" applyAlignment="1">
      <alignment vertical="center" wrapText="1"/>
    </xf>
    <xf numFmtId="0" fontId="73" fillId="5" borderId="54" xfId="1" applyNumberFormat="1" applyFont="1" applyFill="1" applyBorder="1" applyAlignment="1">
      <alignment vertical="center" wrapText="1"/>
    </xf>
    <xf numFmtId="0" fontId="73" fillId="3" borderId="54" xfId="1" applyNumberFormat="1" applyFont="1" applyFill="1" applyBorder="1" applyAlignment="1">
      <alignment vertical="center" wrapText="1"/>
    </xf>
    <xf numFmtId="0" fontId="73" fillId="3" borderId="111" xfId="1" applyNumberFormat="1" applyFont="1" applyFill="1" applyBorder="1" applyAlignment="1">
      <alignment vertical="center" wrapText="1"/>
    </xf>
    <xf numFmtId="0" fontId="73" fillId="3" borderId="51" xfId="1" applyNumberFormat="1" applyFont="1" applyFill="1" applyBorder="1" applyAlignment="1">
      <alignment horizontal="center" vertical="center" wrapText="1"/>
    </xf>
    <xf numFmtId="0" fontId="73" fillId="0" borderId="51" xfId="1" applyNumberFormat="1" applyFont="1" applyFill="1" applyBorder="1" applyAlignment="1">
      <alignment horizontal="center" vertical="center" wrapText="1"/>
    </xf>
    <xf numFmtId="0" fontId="73" fillId="3" borderId="82" xfId="1" applyNumberFormat="1" applyFont="1" applyFill="1" applyBorder="1" applyAlignment="1">
      <alignment horizontal="center" vertical="center" wrapText="1"/>
    </xf>
    <xf numFmtId="0" fontId="46" fillId="0" borderId="90" xfId="0" applyNumberFormat="1" applyFont="1" applyBorder="1">
      <alignment vertical="center"/>
    </xf>
    <xf numFmtId="0" fontId="73" fillId="5" borderId="10" xfId="2" applyNumberFormat="1" applyFont="1" applyFill="1" applyBorder="1" applyAlignment="1">
      <alignment horizontal="center" vertical="center" wrapText="1"/>
    </xf>
    <xf numFmtId="0" fontId="73" fillId="5" borderId="7" xfId="2" applyNumberFormat="1" applyFont="1" applyFill="1" applyBorder="1" applyAlignment="1">
      <alignment horizontal="center" vertical="center" wrapText="1"/>
    </xf>
    <xf numFmtId="0" fontId="73" fillId="3" borderId="67" xfId="2" applyNumberFormat="1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179" fontId="46" fillId="10" borderId="70" xfId="2" applyNumberFormat="1" applyFont="1" applyFill="1" applyBorder="1" applyAlignment="1">
      <alignment vertical="center"/>
    </xf>
    <xf numFmtId="41" fontId="46" fillId="10" borderId="68" xfId="0" applyNumberFormat="1" applyFont="1" applyFill="1" applyBorder="1">
      <alignment vertical="center"/>
    </xf>
    <xf numFmtId="41" fontId="46" fillId="10" borderId="75" xfId="0" applyNumberFormat="1" applyFont="1" applyFill="1" applyBorder="1">
      <alignment vertical="center"/>
    </xf>
    <xf numFmtId="41" fontId="46" fillId="10" borderId="75" xfId="1" applyFont="1" applyFill="1" applyBorder="1" applyAlignment="1">
      <alignment horizontal="center" vertical="center" wrapText="1"/>
    </xf>
    <xf numFmtId="195" fontId="46" fillId="10" borderId="69" xfId="0" applyNumberFormat="1" applyFont="1" applyFill="1" applyBorder="1">
      <alignment vertical="center"/>
    </xf>
    <xf numFmtId="195" fontId="46" fillId="10" borderId="104" xfId="0" applyNumberFormat="1" applyFont="1" applyFill="1" applyBorder="1">
      <alignment vertical="center"/>
    </xf>
    <xf numFmtId="41" fontId="0" fillId="0" borderId="0" xfId="0" applyNumberFormat="1" applyFont="1">
      <alignment vertical="center"/>
    </xf>
    <xf numFmtId="179" fontId="46" fillId="8" borderId="22" xfId="2" applyNumberFormat="1" applyFont="1" applyFill="1" applyBorder="1">
      <alignment vertical="center"/>
    </xf>
    <xf numFmtId="41" fontId="46" fillId="8" borderId="57" xfId="1" applyFont="1" applyFill="1" applyBorder="1">
      <alignment vertical="center"/>
    </xf>
    <xf numFmtId="41" fontId="46" fillId="8" borderId="21" xfId="1" applyFont="1" applyFill="1" applyBorder="1">
      <alignment vertical="center"/>
    </xf>
    <xf numFmtId="41" fontId="46" fillId="8" borderId="21" xfId="0" applyNumberFormat="1" applyFont="1" applyFill="1" applyBorder="1">
      <alignment vertical="center"/>
    </xf>
    <xf numFmtId="41" fontId="46" fillId="8" borderId="105" xfId="0" applyNumberFormat="1" applyFont="1" applyFill="1" applyBorder="1">
      <alignment vertical="center"/>
    </xf>
    <xf numFmtId="41" fontId="46" fillId="8" borderId="20" xfId="0" applyNumberFormat="1" applyFont="1" applyFill="1" applyBorder="1">
      <alignment vertical="center"/>
    </xf>
    <xf numFmtId="179" fontId="46" fillId="8" borderId="71" xfId="2" applyNumberFormat="1" applyFont="1" applyFill="1" applyBorder="1">
      <alignment vertical="center"/>
    </xf>
    <xf numFmtId="41" fontId="46" fillId="8" borderId="65" xfId="1" applyFont="1" applyFill="1" applyBorder="1">
      <alignment vertical="center"/>
    </xf>
    <xf numFmtId="41" fontId="46" fillId="8" borderId="59" xfId="1" applyFont="1" applyFill="1" applyBorder="1">
      <alignment vertical="center"/>
    </xf>
    <xf numFmtId="41" fontId="46" fillId="8" borderId="59" xfId="0" applyNumberFormat="1" applyFont="1" applyFill="1" applyBorder="1">
      <alignment vertical="center"/>
    </xf>
    <xf numFmtId="41" fontId="46" fillId="8" borderId="60" xfId="0" applyNumberFormat="1" applyFont="1" applyFill="1" applyBorder="1">
      <alignment vertical="center"/>
    </xf>
    <xf numFmtId="41" fontId="46" fillId="8" borderId="110" xfId="0" applyNumberFormat="1" applyFont="1" applyFill="1" applyBorder="1">
      <alignment vertical="center"/>
    </xf>
    <xf numFmtId="41" fontId="74" fillId="3" borderId="79" xfId="1" applyFont="1" applyFill="1" applyBorder="1" applyAlignment="1">
      <alignment horizontal="center" vertical="center"/>
    </xf>
    <xf numFmtId="41" fontId="74" fillId="3" borderId="112" xfId="1" applyNumberFormat="1" applyFont="1" applyFill="1" applyBorder="1">
      <alignment vertical="center"/>
    </xf>
    <xf numFmtId="41" fontId="74" fillId="3" borderId="108" xfId="1" applyNumberFormat="1" applyFont="1" applyFill="1" applyBorder="1">
      <alignment vertical="center"/>
    </xf>
    <xf numFmtId="41" fontId="74" fillId="3" borderId="109" xfId="1" applyNumberFormat="1" applyFont="1" applyFill="1" applyBorder="1">
      <alignment vertical="center"/>
    </xf>
    <xf numFmtId="41" fontId="46" fillId="0" borderId="1" xfId="1" quotePrefix="1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0" fontId="0" fillId="0" borderId="0" xfId="0" quotePrefix="1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1" fontId="42" fillId="3" borderId="99" xfId="1" applyFont="1" applyFill="1" applyBorder="1" applyAlignment="1">
      <alignment horizontal="center" vertical="center"/>
    </xf>
    <xf numFmtId="41" fontId="41" fillId="0" borderId="36" xfId="1" applyFont="1" applyBorder="1">
      <alignment vertical="center"/>
    </xf>
    <xf numFmtId="41" fontId="42" fillId="3" borderId="99" xfId="1" applyFont="1" applyFill="1" applyBorder="1" applyAlignment="1">
      <alignment horizontal="left" vertical="center"/>
    </xf>
    <xf numFmtId="0" fontId="43" fillId="0" borderId="15" xfId="0" applyFont="1" applyBorder="1">
      <alignment vertical="center"/>
    </xf>
    <xf numFmtId="0" fontId="44" fillId="3" borderId="54" xfId="1" applyNumberFormat="1" applyFont="1" applyFill="1" applyBorder="1" applyAlignment="1">
      <alignment horizontal="center" vertical="center" wrapText="1"/>
    </xf>
    <xf numFmtId="0" fontId="44" fillId="3" borderId="8" xfId="1" applyNumberFormat="1" applyFont="1" applyFill="1" applyBorder="1" applyAlignment="1">
      <alignment horizontal="center" vertical="center" wrapText="1"/>
    </xf>
    <xf numFmtId="0" fontId="44" fillId="3" borderId="81" xfId="1" applyNumberFormat="1" applyFont="1" applyFill="1" applyBorder="1" applyAlignment="1">
      <alignment horizontal="center" vertical="center" wrapText="1"/>
    </xf>
    <xf numFmtId="0" fontId="44" fillId="3" borderId="51" xfId="1" applyNumberFormat="1" applyFont="1" applyFill="1" applyBorder="1" applyAlignment="1">
      <alignment horizontal="center" vertical="center" wrapText="1"/>
    </xf>
    <xf numFmtId="0" fontId="44" fillId="3" borderId="101" xfId="1" applyNumberFormat="1" applyFont="1" applyFill="1" applyBorder="1" applyAlignment="1">
      <alignment horizontal="center" vertical="center" wrapText="1"/>
    </xf>
    <xf numFmtId="0" fontId="44" fillId="3" borderId="88" xfId="1" applyNumberFormat="1" applyFont="1" applyFill="1" applyBorder="1" applyAlignment="1">
      <alignment horizontal="center" vertical="center" wrapText="1"/>
    </xf>
    <xf numFmtId="0" fontId="43" fillId="0" borderId="55" xfId="0" applyNumberFormat="1" applyFont="1" applyBorder="1" applyAlignment="1">
      <alignment horizontal="center" vertical="center"/>
    </xf>
    <xf numFmtId="0" fontId="43" fillId="0" borderId="36" xfId="0" applyNumberFormat="1" applyFont="1" applyBorder="1" applyAlignment="1">
      <alignment horizontal="center" vertical="center"/>
    </xf>
    <xf numFmtId="0" fontId="43" fillId="0" borderId="36" xfId="1" applyNumberFormat="1" applyFont="1" applyBorder="1" applyAlignment="1">
      <alignment horizontal="center" vertical="center"/>
    </xf>
    <xf numFmtId="182" fontId="43" fillId="0" borderId="36" xfId="1" applyNumberFormat="1" applyFont="1" applyFill="1" applyBorder="1" applyAlignment="1">
      <alignment horizontal="center" vertical="center"/>
    </xf>
    <xf numFmtId="185" fontId="43" fillId="0" borderId="36" xfId="1" applyNumberFormat="1" applyFont="1" applyFill="1" applyBorder="1" applyAlignment="1">
      <alignment horizontal="center" vertical="center"/>
    </xf>
    <xf numFmtId="41" fontId="43" fillId="0" borderId="37" xfId="1" applyFont="1" applyBorder="1" applyAlignment="1">
      <alignment horizontal="center" vertical="center"/>
    </xf>
    <xf numFmtId="41" fontId="43" fillId="0" borderId="97" xfId="1" applyFont="1" applyBorder="1" applyAlignment="1">
      <alignment horizontal="center" vertical="center"/>
    </xf>
    <xf numFmtId="41" fontId="43" fillId="0" borderId="36" xfId="1" applyFont="1" applyFill="1" applyBorder="1" applyAlignment="1">
      <alignment vertical="center"/>
    </xf>
    <xf numFmtId="41" fontId="43" fillId="6" borderId="36" xfId="1" applyFont="1" applyFill="1" applyBorder="1" applyAlignment="1">
      <alignment vertical="center"/>
    </xf>
    <xf numFmtId="41" fontId="43" fillId="0" borderId="131" xfId="1" applyFont="1" applyFill="1" applyBorder="1" applyAlignment="1">
      <alignment horizontal="center" vertical="center"/>
    </xf>
    <xf numFmtId="41" fontId="43" fillId="6" borderId="70" xfId="1" applyFont="1" applyFill="1" applyBorder="1" applyAlignment="1">
      <alignment horizontal="center" vertical="center"/>
    </xf>
    <xf numFmtId="0" fontId="43" fillId="0" borderId="6" xfId="0" applyNumberFormat="1" applyFont="1" applyBorder="1" applyAlignment="1">
      <alignment horizontal="center" vertical="center"/>
    </xf>
    <xf numFmtId="0" fontId="43" fillId="0" borderId="17" xfId="1" applyNumberFormat="1" applyFont="1" applyFill="1" applyBorder="1" applyAlignment="1">
      <alignment horizontal="center" vertical="center"/>
    </xf>
    <xf numFmtId="182" fontId="43" fillId="0" borderId="17" xfId="1" applyNumberFormat="1" applyFont="1" applyFill="1" applyBorder="1" applyAlignment="1">
      <alignment horizontal="center" vertical="center"/>
    </xf>
    <xf numFmtId="185" fontId="43" fillId="0" borderId="17" xfId="1" applyNumberFormat="1" applyFont="1" applyFill="1" applyBorder="1" applyAlignment="1">
      <alignment horizontal="center" vertical="center"/>
    </xf>
    <xf numFmtId="41" fontId="43" fillId="0" borderId="13" xfId="1" applyFont="1" applyFill="1" applyBorder="1" applyAlignment="1">
      <alignment horizontal="center" vertical="center"/>
    </xf>
    <xf numFmtId="41" fontId="43" fillId="0" borderId="73" xfId="1" applyFont="1" applyFill="1" applyBorder="1" applyAlignment="1">
      <alignment horizontal="center" vertical="center"/>
    </xf>
    <xf numFmtId="41" fontId="43" fillId="0" borderId="17" xfId="1" applyFont="1" applyFill="1" applyBorder="1" applyAlignment="1">
      <alignment vertical="center"/>
    </xf>
    <xf numFmtId="41" fontId="43" fillId="6" borderId="13" xfId="1" applyFont="1" applyFill="1" applyBorder="1" applyAlignment="1">
      <alignment horizontal="center" vertical="center"/>
    </xf>
    <xf numFmtId="41" fontId="43" fillId="0" borderId="114" xfId="1" applyFont="1" applyFill="1" applyBorder="1" applyAlignment="1">
      <alignment horizontal="center" vertical="center"/>
    </xf>
    <xf numFmtId="41" fontId="43" fillId="6" borderId="22" xfId="1" applyFont="1" applyFill="1" applyBorder="1" applyAlignment="1">
      <alignment horizontal="center" vertical="center"/>
    </xf>
    <xf numFmtId="0" fontId="43" fillId="0" borderId="58" xfId="0" applyNumberFormat="1" applyFont="1" applyBorder="1" applyAlignment="1">
      <alignment horizontal="center" vertical="center"/>
    </xf>
    <xf numFmtId="0" fontId="43" fillId="0" borderId="26" xfId="1" applyNumberFormat="1" applyFont="1" applyFill="1" applyBorder="1" applyAlignment="1">
      <alignment horizontal="center" vertical="center"/>
    </xf>
    <xf numFmtId="182" fontId="43" fillId="0" borderId="26" xfId="1" applyNumberFormat="1" applyFont="1" applyFill="1" applyBorder="1" applyAlignment="1">
      <alignment horizontal="center" vertical="center"/>
    </xf>
    <xf numFmtId="185" fontId="43" fillId="0" borderId="26" xfId="1" applyNumberFormat="1" applyFont="1" applyFill="1" applyBorder="1" applyAlignment="1">
      <alignment horizontal="center" vertical="center"/>
    </xf>
    <xf numFmtId="41" fontId="43" fillId="0" borderId="40" xfId="1" applyFont="1" applyFill="1" applyBorder="1" applyAlignment="1">
      <alignment horizontal="center" vertical="center"/>
    </xf>
    <xf numFmtId="41" fontId="43" fillId="0" borderId="98" xfId="1" applyFont="1" applyFill="1" applyBorder="1" applyAlignment="1">
      <alignment horizontal="center" vertical="center"/>
    </xf>
    <xf numFmtId="41" fontId="43" fillId="0" borderId="26" xfId="1" applyFont="1" applyFill="1" applyBorder="1" applyAlignment="1">
      <alignment vertical="center"/>
    </xf>
    <xf numFmtId="41" fontId="43" fillId="6" borderId="40" xfId="1" applyFont="1" applyFill="1" applyBorder="1" applyAlignment="1">
      <alignment horizontal="center" vertical="center"/>
    </xf>
    <xf numFmtId="41" fontId="43" fillId="0" borderId="115" xfId="1" applyFont="1" applyFill="1" applyBorder="1" applyAlignment="1">
      <alignment horizontal="center" vertical="center"/>
    </xf>
    <xf numFmtId="41" fontId="43" fillId="6" borderId="71" xfId="1" applyFont="1" applyFill="1" applyBorder="1" applyAlignment="1">
      <alignment horizontal="center" vertical="center"/>
    </xf>
    <xf numFmtId="0" fontId="44" fillId="3" borderId="51" xfId="1" applyNumberFormat="1" applyFont="1" applyFill="1" applyBorder="1" applyAlignment="1">
      <alignment horizontal="center" vertical="center"/>
    </xf>
    <xf numFmtId="182" fontId="44" fillId="3" borderId="14" xfId="1" applyNumberFormat="1" applyFont="1" applyFill="1" applyBorder="1" applyAlignment="1">
      <alignment horizontal="center" vertical="center"/>
    </xf>
    <xf numFmtId="185" fontId="44" fillId="3" borderId="26" xfId="1" applyNumberFormat="1" applyFont="1" applyFill="1" applyBorder="1" applyAlignment="1">
      <alignment horizontal="center" vertical="center"/>
    </xf>
    <xf numFmtId="41" fontId="44" fillId="3" borderId="8" xfId="1" applyFont="1" applyFill="1" applyBorder="1" applyAlignment="1">
      <alignment horizontal="center" vertical="center"/>
    </xf>
    <xf numFmtId="41" fontId="44" fillId="3" borderId="81" xfId="1" applyFont="1" applyFill="1" applyBorder="1" applyAlignment="1">
      <alignment horizontal="center" vertical="center"/>
    </xf>
    <xf numFmtId="41" fontId="44" fillId="3" borderId="51" xfId="1" applyFont="1" applyFill="1" applyBorder="1" applyAlignment="1">
      <alignment vertical="center"/>
    </xf>
    <xf numFmtId="41" fontId="44" fillId="3" borderId="94" xfId="1" applyFont="1" applyFill="1" applyBorder="1" applyAlignment="1">
      <alignment horizontal="center" vertical="center"/>
    </xf>
    <xf numFmtId="41" fontId="44" fillId="3" borderId="88" xfId="1" applyFont="1" applyFill="1" applyBorder="1" applyAlignment="1">
      <alignment horizontal="center" vertical="center"/>
    </xf>
    <xf numFmtId="0" fontId="43" fillId="0" borderId="118" xfId="1" applyNumberFormat="1" applyFont="1" applyFill="1" applyBorder="1" applyAlignment="1">
      <alignment horizontal="center" vertical="center"/>
    </xf>
    <xf numFmtId="0" fontId="43" fillId="0" borderId="11" xfId="1" applyNumberFormat="1" applyFont="1" applyFill="1" applyBorder="1" applyAlignment="1">
      <alignment horizontal="center" vertical="center"/>
    </xf>
    <xf numFmtId="185" fontId="43" fillId="0" borderId="11" xfId="1" applyNumberFormat="1" applyFont="1" applyFill="1" applyBorder="1" applyAlignment="1">
      <alignment horizontal="center" vertical="center"/>
    </xf>
    <xf numFmtId="41" fontId="43" fillId="0" borderId="121" xfId="1" applyFont="1" applyFill="1" applyBorder="1" applyAlignment="1">
      <alignment horizontal="center" vertical="center"/>
    </xf>
    <xf numFmtId="41" fontId="43" fillId="0" borderId="117" xfId="1" applyFont="1" applyFill="1" applyBorder="1" applyAlignment="1">
      <alignment horizontal="center" vertical="center"/>
    </xf>
    <xf numFmtId="41" fontId="43" fillId="0" borderId="11" xfId="1" applyFont="1" applyFill="1" applyBorder="1" applyAlignment="1">
      <alignment vertical="center"/>
    </xf>
    <xf numFmtId="41" fontId="43" fillId="6" borderId="121" xfId="1" applyFont="1" applyFill="1" applyBorder="1" applyAlignment="1">
      <alignment horizontal="center" vertical="center"/>
    </xf>
    <xf numFmtId="41" fontId="43" fillId="0" borderId="119" xfId="1" applyFont="1" applyFill="1" applyBorder="1" applyAlignment="1">
      <alignment horizontal="center" vertical="center"/>
    </xf>
    <xf numFmtId="41" fontId="43" fillId="6" borderId="122" xfId="1" applyFont="1" applyFill="1" applyBorder="1" applyAlignment="1">
      <alignment horizontal="center" vertical="center"/>
    </xf>
    <xf numFmtId="0" fontId="43" fillId="0" borderId="6" xfId="1" applyNumberFormat="1" applyFont="1" applyFill="1" applyBorder="1" applyAlignment="1">
      <alignment horizontal="center" vertical="center"/>
    </xf>
    <xf numFmtId="0" fontId="43" fillId="0" borderId="58" xfId="1" applyNumberFormat="1" applyFont="1" applyFill="1" applyBorder="1" applyAlignment="1">
      <alignment horizontal="center" vertical="center"/>
    </xf>
    <xf numFmtId="0" fontId="44" fillId="3" borderId="14" xfId="1" applyNumberFormat="1" applyFont="1" applyFill="1" applyBorder="1" applyAlignment="1">
      <alignment horizontal="center" vertical="center"/>
    </xf>
    <xf numFmtId="185" fontId="44" fillId="3" borderId="14" xfId="1" applyNumberFormat="1" applyFont="1" applyFill="1" applyBorder="1" applyAlignment="1">
      <alignment horizontal="center" vertical="center"/>
    </xf>
    <xf numFmtId="41" fontId="44" fillId="3" borderId="39" xfId="1" applyFont="1" applyFill="1" applyBorder="1" applyAlignment="1">
      <alignment horizontal="center" vertical="center"/>
    </xf>
    <xf numFmtId="41" fontId="44" fillId="3" borderId="34" xfId="1" applyFont="1" applyFill="1" applyBorder="1" applyAlignment="1">
      <alignment horizontal="center" vertical="center"/>
    </xf>
    <xf numFmtId="41" fontId="44" fillId="16" borderId="39" xfId="1" applyFont="1" applyFill="1" applyBorder="1" applyAlignment="1">
      <alignment vertical="center"/>
    </xf>
    <xf numFmtId="41" fontId="44" fillId="3" borderId="91" xfId="1" applyFont="1" applyFill="1" applyBorder="1" applyAlignment="1">
      <alignment horizontal="center" vertical="center"/>
    </xf>
    <xf numFmtId="0" fontId="44" fillId="3" borderId="43" xfId="1" applyNumberFormat="1" applyFont="1" applyFill="1" applyBorder="1" applyAlignment="1">
      <alignment horizontal="center" vertical="center"/>
    </xf>
    <xf numFmtId="182" fontId="44" fillId="3" borderId="43" xfId="1" applyNumberFormat="1" applyFont="1" applyFill="1" applyBorder="1" applyAlignment="1">
      <alignment horizontal="center" vertical="center"/>
    </xf>
    <xf numFmtId="185" fontId="44" fillId="3" borderId="43" xfId="1" applyNumberFormat="1" applyFont="1" applyFill="1" applyBorder="1" applyAlignment="1">
      <alignment horizontal="center" vertical="center"/>
    </xf>
    <xf numFmtId="41" fontId="44" fillId="3" borderId="44" xfId="1" applyFont="1" applyFill="1" applyBorder="1" applyAlignment="1">
      <alignment horizontal="center" vertical="center"/>
    </xf>
    <xf numFmtId="41" fontId="44" fillId="3" borderId="102" xfId="1" applyFont="1" applyFill="1" applyBorder="1" applyAlignment="1">
      <alignment horizontal="center" vertical="center"/>
    </xf>
    <xf numFmtId="41" fontId="44" fillId="3" borderId="86" xfId="1" applyFont="1" applyFill="1" applyBorder="1" applyAlignment="1">
      <alignment vertical="center"/>
    </xf>
    <xf numFmtId="41" fontId="44" fillId="3" borderId="86" xfId="1" applyFont="1" applyFill="1" applyBorder="1" applyAlignment="1">
      <alignment horizontal="center" vertical="center"/>
    </xf>
    <xf numFmtId="41" fontId="44" fillId="3" borderId="113" xfId="1" applyFont="1" applyFill="1" applyBorder="1" applyAlignment="1">
      <alignment horizontal="center" vertical="center"/>
    </xf>
    <xf numFmtId="0" fontId="79" fillId="0" borderId="0" xfId="0" applyFont="1">
      <alignment vertical="center"/>
    </xf>
    <xf numFmtId="0" fontId="80" fillId="0" borderId="0" xfId="0" applyFont="1">
      <alignment vertical="center"/>
    </xf>
    <xf numFmtId="0" fontId="81" fillId="0" borderId="0" xfId="0" applyFont="1">
      <alignment vertical="center"/>
    </xf>
    <xf numFmtId="41" fontId="79" fillId="3" borderId="99" xfId="1" applyFont="1" applyFill="1" applyBorder="1" applyAlignment="1">
      <alignment horizontal="center" vertical="center"/>
    </xf>
    <xf numFmtId="41" fontId="83" fillId="3" borderId="99" xfId="1" applyFont="1" applyFill="1" applyBorder="1" applyAlignment="1">
      <alignment horizontal="center" vertical="center"/>
    </xf>
    <xf numFmtId="41" fontId="79" fillId="3" borderId="100" xfId="1" applyFont="1" applyFill="1" applyBorder="1" applyAlignment="1">
      <alignment horizontal="center" vertical="center"/>
    </xf>
    <xf numFmtId="41" fontId="79" fillId="0" borderId="0" xfId="1" applyFont="1" applyAlignment="1">
      <alignment horizontal="center" vertical="center"/>
    </xf>
    <xf numFmtId="41" fontId="79" fillId="0" borderId="0" xfId="1" applyNumberFormat="1" applyFont="1" applyAlignment="1">
      <alignment horizontal="center" vertical="center"/>
    </xf>
    <xf numFmtId="0" fontId="80" fillId="0" borderId="45" xfId="0" applyFont="1" applyBorder="1">
      <alignment vertical="center"/>
    </xf>
    <xf numFmtId="41" fontId="79" fillId="0" borderId="77" xfId="1" applyFont="1" applyBorder="1" applyAlignment="1">
      <alignment horizontal="left" vertical="center"/>
    </xf>
    <xf numFmtId="41" fontId="79" fillId="0" borderId="77" xfId="1" applyFont="1" applyBorder="1" applyAlignment="1">
      <alignment horizontal="center" vertical="center"/>
    </xf>
    <xf numFmtId="41" fontId="83" fillId="0" borderId="77" xfId="1" applyFont="1" applyBorder="1" applyAlignment="1">
      <alignment horizontal="center" vertical="center"/>
    </xf>
    <xf numFmtId="41" fontId="79" fillId="0" borderId="78" xfId="1" applyFont="1" applyBorder="1" applyAlignment="1">
      <alignment horizontal="center" vertical="center"/>
    </xf>
    <xf numFmtId="0" fontId="80" fillId="0" borderId="15" xfId="0" applyFont="1" applyBorder="1">
      <alignment vertical="center"/>
    </xf>
    <xf numFmtId="41" fontId="79" fillId="0" borderId="0" xfId="1" applyFont="1" applyBorder="1" applyAlignment="1">
      <alignment horizontal="left" vertical="center"/>
    </xf>
    <xf numFmtId="41" fontId="79" fillId="0" borderId="0" xfId="1" applyFont="1" applyBorder="1" applyAlignment="1">
      <alignment horizontal="center" vertical="center"/>
    </xf>
    <xf numFmtId="41" fontId="79" fillId="0" borderId="99" xfId="1" applyFont="1" applyBorder="1" applyAlignment="1">
      <alignment horizontal="center" vertical="center"/>
    </xf>
    <xf numFmtId="41" fontId="79" fillId="0" borderId="100" xfId="1" applyFont="1" applyBorder="1" applyAlignment="1">
      <alignment horizontal="left" vertical="center"/>
    </xf>
    <xf numFmtId="41" fontId="79" fillId="3" borderId="15" xfId="1" applyFont="1" applyFill="1" applyBorder="1" applyAlignment="1">
      <alignment horizontal="center" vertical="center" wrapText="1"/>
    </xf>
    <xf numFmtId="41" fontId="79" fillId="0" borderId="90" xfId="1" applyFont="1" applyBorder="1" applyAlignment="1">
      <alignment horizontal="center" vertical="center"/>
    </xf>
    <xf numFmtId="41" fontId="83" fillId="0" borderId="0" xfId="1" applyFont="1" applyBorder="1" applyAlignment="1">
      <alignment horizontal="right" vertical="center"/>
    </xf>
    <xf numFmtId="0" fontId="80" fillId="0" borderId="90" xfId="0" applyFont="1" applyBorder="1">
      <alignment vertical="center"/>
    </xf>
    <xf numFmtId="41" fontId="80" fillId="0" borderId="55" xfId="1" applyFont="1" applyBorder="1">
      <alignment vertical="center"/>
    </xf>
    <xf numFmtId="41" fontId="80" fillId="0" borderId="36" xfId="1" applyFont="1" applyBorder="1">
      <alignment vertical="center"/>
    </xf>
    <xf numFmtId="41" fontId="80" fillId="0" borderId="38" xfId="1" applyFont="1" applyBorder="1">
      <alignment vertical="center"/>
    </xf>
    <xf numFmtId="177" fontId="83" fillId="0" borderId="15" xfId="1" applyNumberFormat="1" applyFont="1" applyBorder="1" applyAlignment="1">
      <alignment horizontal="right" vertical="center"/>
    </xf>
    <xf numFmtId="9" fontId="80" fillId="0" borderId="6" xfId="2" applyFont="1" applyFill="1" applyBorder="1" applyAlignment="1">
      <alignment horizontal="center" vertical="center"/>
    </xf>
    <xf numFmtId="9" fontId="80" fillId="0" borderId="17" xfId="1" applyNumberFormat="1" applyFont="1" applyFill="1" applyBorder="1" applyAlignment="1">
      <alignment horizontal="center" vertical="center"/>
    </xf>
    <xf numFmtId="10" fontId="80" fillId="0" borderId="18" xfId="1" applyNumberFormat="1" applyFont="1" applyFill="1" applyBorder="1" applyAlignment="1">
      <alignment horizontal="center" vertical="center"/>
    </xf>
    <xf numFmtId="41" fontId="80" fillId="0" borderId="90" xfId="1" applyFont="1" applyBorder="1" applyAlignment="1">
      <alignment horizontal="center" vertical="center"/>
    </xf>
    <xf numFmtId="41" fontId="81" fillId="0" borderId="15" xfId="1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9" fontId="80" fillId="0" borderId="58" xfId="2" applyFont="1" applyFill="1" applyBorder="1" applyAlignment="1">
      <alignment horizontal="center" vertical="center"/>
    </xf>
    <xf numFmtId="9" fontId="80" fillId="0" borderId="26" xfId="1" applyNumberFormat="1" applyFont="1" applyFill="1" applyBorder="1" applyAlignment="1">
      <alignment horizontal="center" vertical="center"/>
    </xf>
    <xf numFmtId="10" fontId="80" fillId="0" borderId="27" xfId="1" applyNumberFormat="1" applyFont="1" applyFill="1" applyBorder="1" applyAlignment="1">
      <alignment horizontal="center" vertical="center"/>
    </xf>
    <xf numFmtId="41" fontId="80" fillId="0" borderId="90" xfId="1" applyFont="1" applyBorder="1">
      <alignment vertical="center"/>
    </xf>
    <xf numFmtId="41" fontId="85" fillId="0" borderId="15" xfId="1" applyFont="1" applyBorder="1">
      <alignment vertical="center"/>
    </xf>
    <xf numFmtId="0" fontId="85" fillId="0" borderId="0" xfId="0" applyFont="1">
      <alignment vertical="center"/>
    </xf>
    <xf numFmtId="41" fontId="85" fillId="0" borderId="0" xfId="1" applyNumberFormat="1" applyFont="1">
      <alignment vertical="center"/>
    </xf>
    <xf numFmtId="9" fontId="80" fillId="3" borderId="29" xfId="2" applyFont="1" applyFill="1" applyBorder="1" applyAlignment="1">
      <alignment horizontal="center" vertical="center"/>
    </xf>
    <xf numFmtId="9" fontId="80" fillId="3" borderId="51" xfId="1" applyNumberFormat="1" applyFont="1" applyFill="1" applyBorder="1" applyAlignment="1">
      <alignment horizontal="center" vertical="center"/>
    </xf>
    <xf numFmtId="10" fontId="80" fillId="3" borderId="82" xfId="1" applyNumberFormat="1" applyFont="1" applyFill="1" applyBorder="1" applyAlignment="1">
      <alignment horizontal="center" vertical="center"/>
    </xf>
    <xf numFmtId="41" fontId="85" fillId="0" borderId="0" xfId="1" applyFont="1">
      <alignment vertical="center"/>
    </xf>
    <xf numFmtId="9" fontId="80" fillId="0" borderId="118" xfId="2" applyFont="1" applyFill="1" applyBorder="1" applyAlignment="1">
      <alignment horizontal="center" vertical="center"/>
    </xf>
    <xf numFmtId="9" fontId="80" fillId="0" borderId="11" xfId="1" applyNumberFormat="1" applyFont="1" applyFill="1" applyBorder="1" applyAlignment="1">
      <alignment horizontal="center" vertical="center"/>
    </xf>
    <xf numFmtId="10" fontId="80" fillId="0" borderId="12" xfId="1" applyNumberFormat="1" applyFont="1" applyFill="1" applyBorder="1" applyAlignment="1">
      <alignment horizontal="center" vertical="center"/>
    </xf>
    <xf numFmtId="41" fontId="79" fillId="0" borderId="90" xfId="1" applyFont="1" applyFill="1" applyBorder="1">
      <alignment vertical="center"/>
    </xf>
    <xf numFmtId="41" fontId="80" fillId="0" borderId="90" xfId="1" applyFont="1" applyFill="1" applyBorder="1">
      <alignment vertical="center"/>
    </xf>
    <xf numFmtId="41" fontId="80" fillId="0" borderId="0" xfId="1" applyFont="1">
      <alignment vertical="center"/>
    </xf>
    <xf numFmtId="0" fontId="86" fillId="0" borderId="0" xfId="0" applyFont="1">
      <alignment vertical="center"/>
    </xf>
    <xf numFmtId="9" fontId="81" fillId="3" borderId="25" xfId="2" applyFont="1" applyFill="1" applyBorder="1" applyAlignment="1">
      <alignment horizontal="center" vertical="center"/>
    </xf>
    <xf numFmtId="9" fontId="80" fillId="3" borderId="14" xfId="1" applyNumberFormat="1" applyFont="1" applyFill="1" applyBorder="1" applyAlignment="1">
      <alignment horizontal="center" vertical="center"/>
    </xf>
    <xf numFmtId="10" fontId="81" fillId="3" borderId="66" xfId="1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41" fontId="81" fillId="3" borderId="72" xfId="1" applyFont="1" applyFill="1" applyBorder="1" applyAlignment="1">
      <alignment horizontal="center" vertical="center"/>
    </xf>
    <xf numFmtId="41" fontId="80" fillId="3" borderId="43" xfId="1" applyFont="1" applyFill="1" applyBorder="1" applyAlignment="1">
      <alignment horizontal="left" vertical="center"/>
    </xf>
    <xf numFmtId="41" fontId="81" fillId="3" borderId="96" xfId="1" applyFont="1" applyFill="1" applyBorder="1" applyAlignment="1">
      <alignment horizontal="center" vertical="center"/>
    </xf>
    <xf numFmtId="0" fontId="80" fillId="0" borderId="49" xfId="0" applyFont="1" applyBorder="1">
      <alignment vertical="center"/>
    </xf>
    <xf numFmtId="0" fontId="80" fillId="0" borderId="1" xfId="0" applyFont="1" applyBorder="1">
      <alignment vertical="center"/>
    </xf>
    <xf numFmtId="41" fontId="80" fillId="0" borderId="1" xfId="0" applyNumberFormat="1" applyFont="1" applyBorder="1">
      <alignment vertical="center"/>
    </xf>
    <xf numFmtId="0" fontId="81" fillId="0" borderId="1" xfId="0" applyFont="1" applyBorder="1">
      <alignment vertical="center"/>
    </xf>
    <xf numFmtId="0" fontId="80" fillId="0" borderId="79" xfId="0" applyFont="1" applyBorder="1">
      <alignment vertical="center"/>
    </xf>
    <xf numFmtId="9" fontId="80" fillId="0" borderId="0" xfId="2" applyFont="1">
      <alignment vertical="center"/>
    </xf>
    <xf numFmtId="41" fontId="83" fillId="3" borderId="39" xfId="1" applyFont="1" applyFill="1" applyBorder="1" applyAlignment="1">
      <alignment horizontal="center" vertical="center"/>
    </xf>
    <xf numFmtId="195" fontId="80" fillId="0" borderId="0" xfId="0" applyNumberFormat="1" applyFont="1">
      <alignment vertical="center"/>
    </xf>
    <xf numFmtId="0" fontId="80" fillId="0" borderId="0" xfId="0" applyFont="1" applyFill="1">
      <alignment vertical="center"/>
    </xf>
    <xf numFmtId="41" fontId="79" fillId="0" borderId="99" xfId="1" applyFont="1" applyFill="1" applyBorder="1" applyAlignment="1">
      <alignment horizontal="center" vertical="center"/>
    </xf>
    <xf numFmtId="41" fontId="79" fillId="0" borderId="77" xfId="1" applyFont="1" applyFill="1" applyBorder="1" applyAlignment="1">
      <alignment horizontal="center" vertical="center"/>
    </xf>
    <xf numFmtId="41" fontId="79" fillId="0" borderId="0" xfId="1" applyFont="1" applyFill="1" applyBorder="1" applyAlignment="1">
      <alignment horizontal="center" vertical="center"/>
    </xf>
    <xf numFmtId="0" fontId="79" fillId="0" borderId="56" xfId="1" applyNumberFormat="1" applyFont="1" applyFill="1" applyBorder="1" applyAlignment="1">
      <alignment horizontal="center" vertical="center" wrapText="1"/>
    </xf>
    <xf numFmtId="0" fontId="79" fillId="0" borderId="30" xfId="1" applyNumberFormat="1" applyFont="1" applyFill="1" applyBorder="1" applyAlignment="1">
      <alignment horizontal="center" vertical="center" wrapText="1"/>
    </xf>
    <xf numFmtId="41" fontId="80" fillId="0" borderId="135" xfId="1" applyFont="1" applyFill="1" applyBorder="1" applyAlignment="1">
      <alignment horizontal="center" vertical="center"/>
    </xf>
    <xf numFmtId="41" fontId="80" fillId="0" borderId="136" xfId="1" applyFont="1" applyFill="1" applyBorder="1" applyAlignment="1">
      <alignment horizontal="center" vertical="center"/>
    </xf>
    <xf numFmtId="41" fontId="80" fillId="0" borderId="137" xfId="1" applyFont="1" applyFill="1" applyBorder="1" applyAlignment="1">
      <alignment horizontal="center" vertical="center"/>
    </xf>
    <xf numFmtId="41" fontId="79" fillId="0" borderId="30" xfId="1" applyFont="1" applyFill="1" applyBorder="1" applyAlignment="1">
      <alignment horizontal="center" vertical="center"/>
    </xf>
    <xf numFmtId="41" fontId="80" fillId="0" borderId="138" xfId="1" applyFont="1" applyFill="1" applyBorder="1" applyAlignment="1">
      <alignment horizontal="center" vertical="center"/>
    </xf>
    <xf numFmtId="41" fontId="79" fillId="0" borderId="64" xfId="1" applyFont="1" applyFill="1" applyBorder="1" applyAlignment="1">
      <alignment horizontal="center" vertical="center"/>
    </xf>
    <xf numFmtId="41" fontId="79" fillId="0" borderId="1" xfId="1" applyFont="1" applyFill="1" applyBorder="1" applyAlignment="1">
      <alignment horizontal="center" vertical="center"/>
    </xf>
    <xf numFmtId="0" fontId="80" fillId="0" borderId="1" xfId="0" applyFont="1" applyFill="1" applyBorder="1">
      <alignment vertical="center"/>
    </xf>
    <xf numFmtId="41" fontId="83" fillId="0" borderId="0" xfId="1" applyFont="1" applyFill="1" applyBorder="1" applyAlignment="1">
      <alignment horizontal="center" vertical="center"/>
    </xf>
    <xf numFmtId="49" fontId="80" fillId="0" borderId="0" xfId="0" applyNumberFormat="1" applyFont="1" applyAlignment="1">
      <alignment horizontal="center" vertical="center"/>
    </xf>
    <xf numFmtId="0" fontId="89" fillId="0" borderId="0" xfId="0" applyFont="1">
      <alignment vertical="center"/>
    </xf>
    <xf numFmtId="0" fontId="91" fillId="0" borderId="0" xfId="0" applyFont="1">
      <alignment vertical="center"/>
    </xf>
    <xf numFmtId="0" fontId="42" fillId="3" borderId="92" xfId="0" applyFont="1" applyFill="1" applyBorder="1">
      <alignment vertical="center"/>
    </xf>
    <xf numFmtId="41" fontId="41" fillId="0" borderId="17" xfId="1" applyFont="1" applyBorder="1">
      <alignment vertical="center"/>
    </xf>
    <xf numFmtId="0" fontId="88" fillId="3" borderId="92" xfId="0" applyFont="1" applyFill="1" applyBorder="1">
      <alignment vertical="center"/>
    </xf>
    <xf numFmtId="196" fontId="92" fillId="3" borderId="99" xfId="0" applyNumberFormat="1" applyFont="1" applyFill="1" applyBorder="1" applyAlignment="1">
      <alignment horizontal="left" vertical="center"/>
    </xf>
    <xf numFmtId="41" fontId="47" fillId="3" borderId="99" xfId="1" applyFont="1" applyFill="1" applyBorder="1" applyAlignment="1">
      <alignment horizontal="center" vertical="center"/>
    </xf>
    <xf numFmtId="196" fontId="47" fillId="3" borderId="99" xfId="0" applyNumberFormat="1" applyFont="1" applyFill="1" applyBorder="1" applyAlignment="1">
      <alignment horizontal="center" vertical="center"/>
    </xf>
    <xf numFmtId="41" fontId="45" fillId="3" borderId="95" xfId="1" applyFont="1" applyFill="1" applyBorder="1">
      <alignment vertical="center"/>
    </xf>
    <xf numFmtId="41" fontId="45" fillId="3" borderId="95" xfId="1" applyFont="1" applyFill="1" applyBorder="1" applyAlignment="1">
      <alignment horizontal="center" vertical="center"/>
    </xf>
    <xf numFmtId="0" fontId="43" fillId="0" borderId="97" xfId="1" applyNumberFormat="1" applyFont="1" applyFill="1" applyBorder="1" applyAlignment="1">
      <alignment horizontal="center" vertical="center" wrapText="1"/>
    </xf>
    <xf numFmtId="0" fontId="43" fillId="0" borderId="73" xfId="1" applyNumberFormat="1" applyFont="1" applyBorder="1" applyAlignment="1">
      <alignment horizontal="center" vertical="center"/>
    </xf>
    <xf numFmtId="0" fontId="43" fillId="0" borderId="98" xfId="1" applyNumberFormat="1" applyFont="1" applyBorder="1" applyAlignment="1">
      <alignment horizontal="center" vertical="center"/>
    </xf>
    <xf numFmtId="41" fontId="44" fillId="3" borderId="102" xfId="1" applyNumberFormat="1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vertical="center" wrapText="1"/>
    </xf>
    <xf numFmtId="0" fontId="44" fillId="0" borderId="15" xfId="0" applyFont="1" applyBorder="1">
      <alignment vertical="center"/>
    </xf>
    <xf numFmtId="41" fontId="45" fillId="3" borderId="96" xfId="1" applyFont="1" applyFill="1" applyBorder="1" applyAlignment="1">
      <alignment horizontal="center" vertical="center"/>
    </xf>
    <xf numFmtId="0" fontId="43" fillId="0" borderId="119" xfId="1" applyNumberFormat="1" applyFont="1" applyFill="1" applyBorder="1" applyAlignment="1">
      <alignment horizontal="center" vertical="center" wrapText="1"/>
    </xf>
    <xf numFmtId="0" fontId="43" fillId="0" borderId="114" xfId="1" applyNumberFormat="1" applyFont="1" applyBorder="1" applyAlignment="1">
      <alignment horizontal="center" vertical="center"/>
    </xf>
    <xf numFmtId="0" fontId="43" fillId="0" borderId="115" xfId="1" applyNumberFormat="1" applyFont="1" applyBorder="1" applyAlignment="1">
      <alignment horizontal="center" vertical="center"/>
    </xf>
    <xf numFmtId="41" fontId="44" fillId="3" borderId="113" xfId="1" applyNumberFormat="1" applyFont="1" applyFill="1" applyBorder="1">
      <alignment vertical="center"/>
    </xf>
    <xf numFmtId="41" fontId="79" fillId="3" borderId="95" xfId="1" applyFont="1" applyFill="1" applyBorder="1" applyAlignment="1">
      <alignment horizontal="center" vertical="center"/>
    </xf>
    <xf numFmtId="41" fontId="80" fillId="0" borderId="26" xfId="1" applyFont="1" applyFill="1" applyBorder="1">
      <alignment vertical="center"/>
    </xf>
    <xf numFmtId="10" fontId="47" fillId="0" borderId="0" xfId="0" quotePrefix="1" applyNumberFormat="1" applyFont="1" applyFill="1" applyBorder="1" applyAlignment="1">
      <alignment horizontal="right" vertical="center"/>
    </xf>
    <xf numFmtId="10" fontId="47" fillId="0" borderId="0" xfId="0" quotePrefix="1" applyNumberFormat="1" applyFont="1" applyFill="1" applyBorder="1" applyAlignment="1">
      <alignment horizontal="left" vertical="center"/>
    </xf>
    <xf numFmtId="0" fontId="92" fillId="3" borderId="99" xfId="0" applyNumberFormat="1" applyFont="1" applyFill="1" applyBorder="1" applyAlignment="1">
      <alignment horizontal="left" vertical="center"/>
    </xf>
    <xf numFmtId="0" fontId="88" fillId="3" borderId="99" xfId="0" applyNumberFormat="1" applyFont="1" applyFill="1" applyBorder="1">
      <alignment vertical="center"/>
    </xf>
    <xf numFmtId="49" fontId="47" fillId="0" borderId="0" xfId="0" applyNumberFormat="1" applyFont="1" applyFill="1" applyBorder="1" applyAlignment="1">
      <alignment horizontal="left" vertical="center"/>
    </xf>
    <xf numFmtId="49" fontId="47" fillId="0" borderId="77" xfId="0" applyNumberFormat="1" applyFont="1" applyFill="1" applyBorder="1" applyAlignment="1">
      <alignment horizontal="left" vertical="center"/>
    </xf>
    <xf numFmtId="49" fontId="88" fillId="0" borderId="0" xfId="0" applyNumberFormat="1" applyFont="1" applyAlignment="1">
      <alignment horizontal="center" vertical="center"/>
    </xf>
    <xf numFmtId="41" fontId="47" fillId="0" borderId="0" xfId="1" quotePrefix="1" applyFont="1" applyFill="1" applyBorder="1" applyAlignment="1">
      <alignment horizontal="center" vertical="center"/>
    </xf>
    <xf numFmtId="49" fontId="47" fillId="0" borderId="77" xfId="0" quotePrefix="1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10" fontId="30" fillId="0" borderId="77" xfId="0" quotePrefix="1" applyNumberFormat="1" applyFont="1" applyFill="1" applyBorder="1" applyAlignment="1">
      <alignment horizontal="center" vertical="center"/>
    </xf>
    <xf numFmtId="177" fontId="41" fillId="0" borderId="51" xfId="1" applyNumberFormat="1" applyFont="1" applyFill="1" applyBorder="1" applyAlignment="1">
      <alignment vertical="center"/>
    </xf>
    <xf numFmtId="0" fontId="26" fillId="0" borderId="51" xfId="0" applyFont="1" applyBorder="1" applyAlignment="1">
      <alignment horizontal="center" vertical="center"/>
    </xf>
    <xf numFmtId="0" fontId="30" fillId="0" borderId="139" xfId="0" applyFont="1" applyFill="1" applyBorder="1" applyAlignment="1">
      <alignment horizontal="center" vertical="center"/>
    </xf>
    <xf numFmtId="182" fontId="41" fillId="0" borderId="139" xfId="0" applyNumberFormat="1" applyFont="1" applyFill="1" applyBorder="1" applyAlignment="1">
      <alignment horizontal="right" vertical="center"/>
    </xf>
    <xf numFmtId="41" fontId="41" fillId="0" borderId="139" xfId="1" applyFont="1" applyFill="1" applyBorder="1" applyAlignment="1">
      <alignment vertical="center"/>
    </xf>
    <xf numFmtId="179" fontId="66" fillId="0" borderId="139" xfId="2" applyNumberFormat="1" applyFont="1" applyFill="1" applyBorder="1" applyAlignment="1">
      <alignment vertical="center"/>
    </xf>
    <xf numFmtId="0" fontId="30" fillId="0" borderId="141" xfId="0" applyFont="1" applyFill="1" applyBorder="1" applyAlignment="1">
      <alignment horizontal="center" vertical="center"/>
    </xf>
    <xf numFmtId="182" fontId="41" fillId="0" borderId="141" xfId="0" applyNumberFormat="1" applyFont="1" applyFill="1" applyBorder="1" applyAlignment="1">
      <alignment horizontal="right" vertical="center"/>
    </xf>
    <xf numFmtId="41" fontId="41" fillId="0" borderId="141" xfId="1" applyFont="1" applyFill="1" applyBorder="1" applyAlignment="1">
      <alignment vertical="center"/>
    </xf>
    <xf numFmtId="179" fontId="66" fillId="0" borderId="141" xfId="2" applyNumberFormat="1" applyFont="1" applyFill="1" applyBorder="1" applyAlignment="1">
      <alignment vertical="center"/>
    </xf>
    <xf numFmtId="0" fontId="30" fillId="0" borderId="143" xfId="0" applyFont="1" applyFill="1" applyBorder="1" applyAlignment="1">
      <alignment horizontal="center" vertical="center"/>
    </xf>
    <xf numFmtId="182" fontId="41" fillId="0" borderId="143" xfId="0" applyNumberFormat="1" applyFont="1" applyFill="1" applyBorder="1" applyAlignment="1">
      <alignment horizontal="right" vertical="center"/>
    </xf>
    <xf numFmtId="41" fontId="41" fillId="0" borderId="143" xfId="1" applyFont="1" applyFill="1" applyBorder="1" applyAlignment="1">
      <alignment vertical="center"/>
    </xf>
    <xf numFmtId="179" fontId="66" fillId="0" borderId="143" xfId="2" applyNumberFormat="1" applyFont="1" applyFill="1" applyBorder="1" applyAlignment="1">
      <alignment vertical="center"/>
    </xf>
    <xf numFmtId="177" fontId="94" fillId="0" borderId="0" xfId="9" applyNumberFormat="1" applyFill="1" applyBorder="1" applyAlignment="1">
      <alignment vertical="center"/>
    </xf>
    <xf numFmtId="0" fontId="30" fillId="0" borderId="145" xfId="0" applyFont="1" applyFill="1" applyBorder="1" applyAlignment="1">
      <alignment horizontal="center" vertical="center"/>
    </xf>
    <xf numFmtId="178" fontId="41" fillId="0" borderId="33" xfId="0" applyNumberFormat="1" applyFont="1" applyFill="1" applyBorder="1" applyAlignment="1">
      <alignment horizontal="right" vertical="center"/>
    </xf>
    <xf numFmtId="41" fontId="41" fillId="0" borderId="33" xfId="1" applyFont="1" applyFill="1" applyBorder="1" applyAlignment="1">
      <alignment vertical="center"/>
    </xf>
    <xf numFmtId="179" fontId="66" fillId="0" borderId="33" xfId="2" applyNumberFormat="1" applyFont="1" applyFill="1" applyBorder="1" applyAlignment="1">
      <alignment vertical="center"/>
    </xf>
    <xf numFmtId="182" fontId="64" fillId="5" borderId="51" xfId="1" applyNumberFormat="1" applyFont="1" applyFill="1" applyBorder="1" applyAlignment="1">
      <alignment horizontal="right" vertical="center"/>
    </xf>
    <xf numFmtId="188" fontId="64" fillId="5" borderId="51" xfId="2" applyNumberFormat="1" applyFont="1" applyFill="1" applyBorder="1" applyAlignment="1">
      <alignment vertical="center"/>
    </xf>
    <xf numFmtId="183" fontId="41" fillId="5" borderId="26" xfId="1" applyNumberFormat="1" applyFont="1" applyFill="1" applyBorder="1" applyAlignment="1">
      <alignment vertical="center"/>
    </xf>
    <xf numFmtId="183" fontId="41" fillId="5" borderId="36" xfId="1" applyNumberFormat="1" applyFont="1" applyFill="1" applyBorder="1" applyAlignment="1">
      <alignment vertical="center"/>
    </xf>
    <xf numFmtId="183" fontId="41" fillId="5" borderId="17" xfId="1" applyNumberFormat="1" applyFont="1" applyFill="1" applyBorder="1" applyAlignment="1">
      <alignment vertical="center"/>
    </xf>
    <xf numFmtId="0" fontId="30" fillId="5" borderId="36" xfId="1" applyNumberFormat="1" applyFont="1" applyFill="1" applyBorder="1" applyAlignment="1">
      <alignment horizontal="center" vertical="center"/>
    </xf>
    <xf numFmtId="0" fontId="30" fillId="5" borderId="17" xfId="1" applyNumberFormat="1" applyFont="1" applyFill="1" applyBorder="1" applyAlignment="1">
      <alignment horizontal="center" vertical="center"/>
    </xf>
    <xf numFmtId="0" fontId="30" fillId="5" borderId="26" xfId="1" applyNumberFormat="1" applyFont="1" applyFill="1" applyBorder="1" applyAlignment="1">
      <alignment horizontal="center" vertical="center"/>
    </xf>
    <xf numFmtId="0" fontId="30" fillId="5" borderId="17" xfId="1" applyNumberFormat="1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left" vertical="center" wrapText="1"/>
    </xf>
    <xf numFmtId="0" fontId="49" fillId="0" borderId="18" xfId="0" applyFont="1" applyFill="1" applyBorder="1" applyAlignment="1">
      <alignment vertical="center" shrinkToFit="1"/>
    </xf>
    <xf numFmtId="0" fontId="49" fillId="0" borderId="35" xfId="0" applyFont="1" applyFill="1" applyBorder="1" applyAlignment="1">
      <alignment vertical="center" shrinkToFit="1"/>
    </xf>
    <xf numFmtId="0" fontId="95" fillId="4" borderId="82" xfId="0" applyFont="1" applyFill="1" applyBorder="1" applyAlignment="1">
      <alignment horizontal="left" vertical="center" wrapText="1"/>
    </xf>
    <xf numFmtId="0" fontId="49" fillId="4" borderId="96" xfId="0" applyFont="1" applyFill="1" applyBorder="1" applyAlignment="1">
      <alignment vertical="center" wrapText="1"/>
    </xf>
    <xf numFmtId="3" fontId="49" fillId="0" borderId="140" xfId="0" applyNumberFormat="1" applyFont="1" applyFill="1" applyBorder="1" applyAlignment="1">
      <alignment vertical="center" wrapText="1"/>
    </xf>
    <xf numFmtId="3" fontId="49" fillId="0" borderId="144" xfId="0" applyNumberFormat="1" applyFont="1" applyFill="1" applyBorder="1" applyAlignment="1">
      <alignment vertical="center" wrapText="1"/>
    </xf>
    <xf numFmtId="3" fontId="49" fillId="0" borderId="18" xfId="0" applyNumberFormat="1" applyFont="1" applyFill="1" applyBorder="1" applyAlignment="1">
      <alignment vertical="center" wrapText="1"/>
    </xf>
    <xf numFmtId="3" fontId="49" fillId="0" borderId="142" xfId="0" applyNumberFormat="1" applyFont="1" applyFill="1" applyBorder="1" applyAlignment="1">
      <alignment vertical="center" wrapText="1"/>
    </xf>
    <xf numFmtId="3" fontId="49" fillId="0" borderId="38" xfId="0" applyNumberFormat="1" applyFont="1" applyFill="1" applyBorder="1" applyAlignment="1">
      <alignment vertical="center" wrapText="1"/>
    </xf>
    <xf numFmtId="3" fontId="49" fillId="0" borderId="12" xfId="0" applyNumberFormat="1" applyFont="1" applyFill="1" applyBorder="1" applyAlignment="1">
      <alignment vertical="center" wrapText="1"/>
    </xf>
    <xf numFmtId="177" fontId="49" fillId="0" borderId="18" xfId="0" applyNumberFormat="1" applyFont="1" applyFill="1" applyBorder="1" applyAlignment="1">
      <alignment horizontal="left" vertical="center" wrapText="1"/>
    </xf>
    <xf numFmtId="3" fontId="49" fillId="0" borderId="35" xfId="0" applyNumberFormat="1" applyFont="1" applyFill="1" applyBorder="1" applyAlignment="1">
      <alignment vertical="center" wrapText="1"/>
    </xf>
    <xf numFmtId="3" fontId="49" fillId="0" borderId="27" xfId="0" applyNumberFormat="1" applyFont="1" applyFill="1" applyBorder="1" applyAlignment="1">
      <alignment vertical="center" wrapText="1"/>
    </xf>
    <xf numFmtId="3" fontId="95" fillId="4" borderId="66" xfId="0" applyNumberFormat="1" applyFont="1" applyFill="1" applyBorder="1" applyAlignment="1">
      <alignment vertical="center" wrapText="1"/>
    </xf>
    <xf numFmtId="0" fontId="49" fillId="0" borderId="38" xfId="0" applyFont="1" applyFill="1" applyBorder="1" applyAlignment="1">
      <alignment vertical="center" wrapText="1"/>
    </xf>
    <xf numFmtId="0" fontId="49" fillId="0" borderId="18" xfId="0" applyNumberFormat="1" applyFont="1" applyFill="1" applyBorder="1" applyAlignment="1">
      <alignment vertical="center" wrapText="1"/>
    </xf>
    <xf numFmtId="0" fontId="49" fillId="0" borderId="0" xfId="0" applyFont="1">
      <alignment vertical="center"/>
    </xf>
    <xf numFmtId="0" fontId="95" fillId="4" borderId="82" xfId="0" quotePrefix="1" applyFont="1" applyFill="1" applyBorder="1" applyAlignment="1">
      <alignment horizontal="left" vertical="center" wrapText="1"/>
    </xf>
    <xf numFmtId="41" fontId="96" fillId="11" borderId="96" xfId="1" applyFont="1" applyFill="1" applyBorder="1" applyAlignment="1">
      <alignment horizontal="left" vertical="center" wrapText="1"/>
    </xf>
    <xf numFmtId="0" fontId="49" fillId="0" borderId="48" xfId="0" applyFont="1" applyFill="1" applyBorder="1">
      <alignment vertical="center"/>
    </xf>
    <xf numFmtId="0" fontId="49" fillId="0" borderId="22" xfId="0" applyFont="1" applyFill="1" applyBorder="1">
      <alignment vertical="center"/>
    </xf>
    <xf numFmtId="0" fontId="49" fillId="0" borderId="89" xfId="0" applyFont="1" applyFill="1" applyBorder="1">
      <alignment vertical="center"/>
    </xf>
    <xf numFmtId="41" fontId="49" fillId="11" borderId="96" xfId="1" applyFont="1" applyFill="1" applyBorder="1" applyAlignment="1">
      <alignment horizontal="left" vertical="center" wrapText="1"/>
    </xf>
    <xf numFmtId="41" fontId="43" fillId="0" borderId="17" xfId="1" applyFont="1" applyFill="1" applyBorder="1" applyAlignment="1">
      <alignment horizontal="right" vertical="center"/>
    </xf>
    <xf numFmtId="41" fontId="66" fillId="0" borderId="47" xfId="3" applyNumberFormat="1" applyFont="1" applyBorder="1" applyAlignment="1">
      <alignment vertical="center" wrapText="1"/>
    </xf>
    <xf numFmtId="41" fontId="41" fillId="0" borderId="47" xfId="1" applyFont="1" applyFill="1" applyBorder="1" applyAlignment="1">
      <alignment vertical="center"/>
    </xf>
    <xf numFmtId="0" fontId="53" fillId="3" borderId="49" xfId="3" applyFont="1" applyFill="1" applyBorder="1" applyAlignment="1">
      <alignment horizontal="center" vertical="center" wrapText="1"/>
    </xf>
    <xf numFmtId="0" fontId="53" fillId="3" borderId="1" xfId="3" applyFont="1" applyFill="1" applyBorder="1" applyAlignment="1">
      <alignment horizontal="center" vertical="center" wrapText="1"/>
    </xf>
    <xf numFmtId="41" fontId="66" fillId="3" borderId="95" xfId="0" applyNumberFormat="1" applyFont="1" applyFill="1" applyBorder="1">
      <alignment vertical="center"/>
    </xf>
    <xf numFmtId="9" fontId="66" fillId="3" borderId="95" xfId="2" applyFont="1" applyFill="1" applyBorder="1" applyAlignment="1">
      <alignment vertical="center"/>
    </xf>
    <xf numFmtId="41" fontId="79" fillId="3" borderId="134" xfId="1" applyFont="1" applyFill="1" applyBorder="1" applyAlignment="1">
      <alignment horizontal="center" vertical="center" wrapText="1"/>
    </xf>
    <xf numFmtId="177" fontId="83" fillId="0" borderId="134" xfId="1" applyNumberFormat="1" applyFont="1" applyBorder="1" applyAlignment="1">
      <alignment horizontal="right" vertical="center"/>
    </xf>
    <xf numFmtId="41" fontId="26" fillId="5" borderId="0" xfId="1" applyFont="1" applyFill="1">
      <alignment vertical="center"/>
    </xf>
    <xf numFmtId="41" fontId="41" fillId="5" borderId="51" xfId="1" applyFont="1" applyFill="1" applyBorder="1">
      <alignment vertical="center"/>
    </xf>
    <xf numFmtId="41" fontId="41" fillId="5" borderId="7" xfId="1" applyFont="1" applyFill="1" applyBorder="1">
      <alignment vertical="center"/>
    </xf>
    <xf numFmtId="41" fontId="26" fillId="0" borderId="0" xfId="1" applyFont="1" applyFill="1">
      <alignment vertical="center"/>
    </xf>
    <xf numFmtId="41" fontId="43" fillId="5" borderId="36" xfId="1" applyFont="1" applyFill="1" applyBorder="1">
      <alignment vertical="center"/>
    </xf>
    <xf numFmtId="41" fontId="41" fillId="5" borderId="36" xfId="1" applyFont="1" applyFill="1" applyBorder="1">
      <alignment vertical="center"/>
    </xf>
    <xf numFmtId="41" fontId="43" fillId="5" borderId="17" xfId="1" applyFont="1" applyFill="1" applyBorder="1">
      <alignment vertical="center"/>
    </xf>
    <xf numFmtId="41" fontId="41" fillId="5" borderId="17" xfId="1" applyFont="1" applyFill="1" applyBorder="1">
      <alignment vertical="center"/>
    </xf>
    <xf numFmtId="41" fontId="43" fillId="5" borderId="26" xfId="1" applyFont="1" applyFill="1" applyBorder="1">
      <alignment vertical="center"/>
    </xf>
    <xf numFmtId="196" fontId="101" fillId="0" borderId="97" xfId="0" applyNumberFormat="1" applyFont="1" applyFill="1" applyBorder="1" applyAlignment="1">
      <alignment horizontal="center" vertical="center" wrapText="1"/>
    </xf>
    <xf numFmtId="199" fontId="102" fillId="0" borderId="73" xfId="0" applyNumberFormat="1" applyFont="1" applyBorder="1" applyAlignment="1">
      <alignment horizontal="center" vertical="center" wrapText="1"/>
    </xf>
    <xf numFmtId="196" fontId="100" fillId="0" borderId="118" xfId="0" quotePrefix="1" applyNumberFormat="1" applyFont="1" applyFill="1" applyBorder="1" applyAlignment="1">
      <alignment horizontal="center" vertical="center" wrapText="1"/>
    </xf>
    <xf numFmtId="199" fontId="49" fillId="0" borderId="6" xfId="0" quotePrefix="1" applyNumberFormat="1" applyFont="1" applyBorder="1" applyAlignment="1">
      <alignment horizontal="center" vertical="center" wrapText="1"/>
    </xf>
    <xf numFmtId="0" fontId="38" fillId="3" borderId="51" xfId="6" applyNumberFormat="1" applyFont="1" applyFill="1" applyBorder="1" applyAlignment="1">
      <alignment horizontal="center" vertical="center" shrinkToFit="1"/>
    </xf>
    <xf numFmtId="41" fontId="104" fillId="11" borderId="11" xfId="1" applyFont="1" applyFill="1" applyBorder="1" applyAlignment="1">
      <alignment horizontal="center" vertical="center" wrapText="1"/>
    </xf>
    <xf numFmtId="41" fontId="43" fillId="11" borderId="11" xfId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 shrinkToFit="1"/>
    </xf>
    <xf numFmtId="41" fontId="27" fillId="6" borderId="53" xfId="1" applyFont="1" applyFill="1" applyBorder="1" applyAlignment="1">
      <alignment horizontal="center" vertical="center"/>
    </xf>
    <xf numFmtId="41" fontId="27" fillId="6" borderId="52" xfId="1" applyFont="1" applyFill="1" applyBorder="1" applyAlignment="1">
      <alignment horizontal="center" vertical="center"/>
    </xf>
    <xf numFmtId="41" fontId="27" fillId="6" borderId="42" xfId="1" applyFont="1" applyFill="1" applyBorder="1" applyAlignment="1">
      <alignment horizontal="center" vertical="center"/>
    </xf>
    <xf numFmtId="41" fontId="27" fillId="6" borderId="8" xfId="1" applyFont="1" applyFill="1" applyBorder="1" applyAlignment="1">
      <alignment horizontal="center" vertical="center"/>
    </xf>
    <xf numFmtId="41" fontId="27" fillId="6" borderId="30" xfId="1" applyFont="1" applyFill="1" applyBorder="1" applyAlignment="1">
      <alignment horizontal="center" vertical="center"/>
    </xf>
    <xf numFmtId="41" fontId="27" fillId="6" borderId="29" xfId="1" applyFont="1" applyFill="1" applyBorder="1" applyAlignment="1">
      <alignment horizontal="center" vertical="center"/>
    </xf>
    <xf numFmtId="41" fontId="48" fillId="0" borderId="0" xfId="1" applyFont="1" applyFill="1" applyAlignment="1">
      <alignment horizontal="center" vertical="center" wrapText="1"/>
    </xf>
    <xf numFmtId="41" fontId="48" fillId="0" borderId="0" xfId="1" applyFont="1" applyFill="1" applyAlignment="1">
      <alignment horizontal="center" vertical="center"/>
    </xf>
    <xf numFmtId="180" fontId="64" fillId="0" borderId="8" xfId="1" applyNumberFormat="1" applyFont="1" applyFill="1" applyBorder="1" applyAlignment="1">
      <alignment horizontal="right" vertical="center"/>
    </xf>
    <xf numFmtId="180" fontId="64" fillId="0" borderId="88" xfId="1" applyNumberFormat="1" applyFont="1" applyFill="1" applyBorder="1" applyAlignment="1">
      <alignment horizontal="right" vertical="center"/>
    </xf>
    <xf numFmtId="41" fontId="27" fillId="6" borderId="8" xfId="1" applyFont="1" applyFill="1" applyBorder="1" applyAlignment="1">
      <alignment horizontal="center" vertical="center" wrapText="1"/>
    </xf>
    <xf numFmtId="41" fontId="27" fillId="6" borderId="30" xfId="1" applyFont="1" applyFill="1" applyBorder="1" applyAlignment="1">
      <alignment horizontal="center" vertical="center" wrapText="1"/>
    </xf>
    <xf numFmtId="41" fontId="27" fillId="6" borderId="29" xfId="1" applyFont="1" applyFill="1" applyBorder="1" applyAlignment="1">
      <alignment horizontal="center" vertical="center" wrapText="1"/>
    </xf>
    <xf numFmtId="0" fontId="27" fillId="6" borderId="8" xfId="1" applyNumberFormat="1" applyFont="1" applyFill="1" applyBorder="1" applyAlignment="1">
      <alignment horizontal="center" vertical="center" wrapText="1"/>
    </xf>
    <xf numFmtId="0" fontId="27" fillId="6" borderId="30" xfId="1" applyNumberFormat="1" applyFont="1" applyFill="1" applyBorder="1" applyAlignment="1">
      <alignment horizontal="center" vertical="center" wrapText="1"/>
    </xf>
    <xf numFmtId="0" fontId="27" fillId="6" borderId="29" xfId="1" applyNumberFormat="1" applyFont="1" applyFill="1" applyBorder="1" applyAlignment="1">
      <alignment horizontal="center" vertical="center" wrapText="1"/>
    </xf>
    <xf numFmtId="41" fontId="27" fillId="2" borderId="84" xfId="1" applyFont="1" applyFill="1" applyBorder="1" applyAlignment="1">
      <alignment horizontal="center" vertical="center"/>
    </xf>
    <xf numFmtId="41" fontId="64" fillId="5" borderId="14" xfId="1" applyFont="1" applyFill="1" applyBorder="1" applyAlignment="1">
      <alignment horizontal="center" vertical="center" wrapText="1"/>
    </xf>
    <xf numFmtId="41" fontId="64" fillId="5" borderId="51" xfId="1" applyFont="1" applyFill="1" applyBorder="1" applyAlignment="1">
      <alignment horizontal="center" vertical="center" wrapText="1"/>
    </xf>
    <xf numFmtId="181" fontId="64" fillId="5" borderId="51" xfId="1" applyNumberFormat="1" applyFont="1" applyFill="1" applyBorder="1" applyAlignment="1">
      <alignment horizontal="center" vertical="center"/>
    </xf>
    <xf numFmtId="41" fontId="64" fillId="5" borderId="51" xfId="1" applyFont="1" applyFill="1" applyBorder="1" applyAlignment="1">
      <alignment horizontal="center" vertical="center"/>
    </xf>
    <xf numFmtId="183" fontId="27" fillId="6" borderId="51" xfId="1" applyNumberFormat="1" applyFont="1" applyFill="1" applyBorder="1" applyAlignment="1">
      <alignment horizontal="center" vertical="center"/>
    </xf>
    <xf numFmtId="189" fontId="64" fillId="5" borderId="43" xfId="2" applyNumberFormat="1" applyFont="1" applyFill="1" applyBorder="1" applyAlignment="1">
      <alignment horizontal="center" vertical="center"/>
    </xf>
    <xf numFmtId="41" fontId="27" fillId="2" borderId="85" xfId="1" applyFont="1" applyFill="1" applyBorder="1" applyAlignment="1">
      <alignment horizontal="center" vertical="center"/>
    </xf>
    <xf numFmtId="14" fontId="25" fillId="0" borderId="0" xfId="1" applyNumberFormat="1" applyFont="1" applyFill="1" applyBorder="1" applyAlignment="1">
      <alignment horizontal="center"/>
    </xf>
    <xf numFmtId="180" fontId="64" fillId="5" borderId="51" xfId="1" applyNumberFormat="1" applyFont="1" applyFill="1" applyBorder="1" applyAlignment="1">
      <alignment horizontal="right" vertical="center"/>
    </xf>
    <xf numFmtId="180" fontId="64" fillId="5" borderId="8" xfId="1" applyNumberFormat="1" applyFont="1" applyFill="1" applyBorder="1" applyAlignment="1">
      <alignment horizontal="right" vertical="center"/>
    </xf>
    <xf numFmtId="177" fontId="64" fillId="5" borderId="51" xfId="1" applyNumberFormat="1" applyFont="1" applyFill="1" applyBorder="1" applyAlignment="1">
      <alignment horizontal="right" vertical="center"/>
    </xf>
    <xf numFmtId="177" fontId="64" fillId="5" borderId="82" xfId="1" applyNumberFormat="1" applyFont="1" applyFill="1" applyBorder="1" applyAlignment="1">
      <alignment horizontal="right" vertical="center"/>
    </xf>
    <xf numFmtId="180" fontId="64" fillId="0" borderId="51" xfId="1" applyNumberFormat="1" applyFont="1" applyFill="1" applyBorder="1" applyAlignment="1">
      <alignment horizontal="right" vertical="center"/>
    </xf>
    <xf numFmtId="180" fontId="64" fillId="0" borderId="82" xfId="1" applyNumberFormat="1" applyFont="1" applyFill="1" applyBorder="1" applyAlignment="1">
      <alignment horizontal="right" vertical="center"/>
    </xf>
    <xf numFmtId="180" fontId="64" fillId="5" borderId="82" xfId="1" applyNumberFormat="1" applyFont="1" applyFill="1" applyBorder="1" applyAlignment="1">
      <alignment horizontal="right" vertical="center"/>
    </xf>
    <xf numFmtId="186" fontId="64" fillId="0" borderId="51" xfId="1" applyNumberFormat="1" applyFont="1" applyFill="1" applyBorder="1" applyAlignment="1">
      <alignment horizontal="right" vertical="center"/>
    </xf>
    <xf numFmtId="186" fontId="64" fillId="0" borderId="82" xfId="1" applyNumberFormat="1" applyFont="1" applyFill="1" applyBorder="1" applyAlignment="1">
      <alignment horizontal="right" vertical="center"/>
    </xf>
    <xf numFmtId="186" fontId="64" fillId="0" borderId="8" xfId="1" applyNumberFormat="1" applyFont="1" applyFill="1" applyBorder="1" applyAlignment="1">
      <alignment horizontal="right" vertical="center"/>
    </xf>
    <xf numFmtId="186" fontId="64" fillId="0" borderId="88" xfId="1" applyNumberFormat="1" applyFont="1" applyFill="1" applyBorder="1" applyAlignment="1">
      <alignment horizontal="right" vertical="center"/>
    </xf>
    <xf numFmtId="186" fontId="64" fillId="0" borderId="53" xfId="1" applyNumberFormat="1" applyFont="1" applyFill="1" applyBorder="1" applyAlignment="1">
      <alignment horizontal="right" vertical="center"/>
    </xf>
    <xf numFmtId="186" fontId="64" fillId="0" borderId="116" xfId="1" applyNumberFormat="1" applyFont="1" applyFill="1" applyBorder="1" applyAlignment="1">
      <alignment horizontal="right" vertical="center"/>
    </xf>
    <xf numFmtId="0" fontId="27" fillId="6" borderId="72" xfId="1" applyNumberFormat="1" applyFont="1" applyFill="1" applyBorder="1" applyAlignment="1">
      <alignment horizontal="center" vertical="center" wrapText="1"/>
    </xf>
    <xf numFmtId="0" fontId="27" fillId="6" borderId="43" xfId="1" applyNumberFormat="1" applyFont="1" applyFill="1" applyBorder="1" applyAlignment="1">
      <alignment horizontal="center" vertical="center"/>
    </xf>
    <xf numFmtId="0" fontId="27" fillId="2" borderId="83" xfId="1" applyNumberFormat="1" applyFont="1" applyFill="1" applyBorder="1" applyAlignment="1">
      <alignment horizontal="center" vertical="center"/>
    </xf>
    <xf numFmtId="0" fontId="27" fillId="2" borderId="84" xfId="1" applyNumberFormat="1" applyFont="1" applyFill="1" applyBorder="1" applyAlignment="1">
      <alignment horizontal="center" vertical="center"/>
    </xf>
    <xf numFmtId="0" fontId="27" fillId="6" borderId="81" xfId="1" applyNumberFormat="1" applyFont="1" applyFill="1" applyBorder="1" applyAlignment="1">
      <alignment horizontal="center" vertical="center"/>
    </xf>
    <xf numFmtId="0" fontId="27" fillId="6" borderId="51" xfId="1" applyNumberFormat="1" applyFont="1" applyFill="1" applyBorder="1" applyAlignment="1">
      <alignment horizontal="center" vertical="center"/>
    </xf>
    <xf numFmtId="0" fontId="27" fillId="6" borderId="34" xfId="1" applyNumberFormat="1" applyFont="1" applyFill="1" applyBorder="1" applyAlignment="1">
      <alignment horizontal="center" vertical="center"/>
    </xf>
    <xf numFmtId="0" fontId="27" fillId="6" borderId="14" xfId="1" applyNumberFormat="1" applyFont="1" applyFill="1" applyBorder="1" applyAlignment="1">
      <alignment horizontal="center" vertical="center"/>
    </xf>
    <xf numFmtId="0" fontId="27" fillId="6" borderId="81" xfId="1" applyNumberFormat="1" applyFont="1" applyFill="1" applyBorder="1" applyAlignment="1">
      <alignment horizontal="center" vertical="center" textRotation="255" wrapText="1"/>
    </xf>
    <xf numFmtId="0" fontId="27" fillId="6" borderId="9" xfId="0" applyNumberFormat="1" applyFont="1" applyFill="1" applyBorder="1" applyAlignment="1">
      <alignment horizontal="center" vertical="center"/>
    </xf>
    <xf numFmtId="0" fontId="27" fillId="6" borderId="23" xfId="0" applyNumberFormat="1" applyFont="1" applyFill="1" applyBorder="1" applyAlignment="1">
      <alignment horizontal="center" vertical="center"/>
    </xf>
    <xf numFmtId="0" fontId="27" fillId="6" borderId="10" xfId="0" applyNumberFormat="1" applyFont="1" applyFill="1" applyBorder="1" applyAlignment="1">
      <alignment horizontal="center" vertical="center"/>
    </xf>
    <xf numFmtId="0" fontId="27" fillId="6" borderId="24" xfId="0" applyNumberFormat="1" applyFont="1" applyFill="1" applyBorder="1" applyAlignment="1">
      <alignment horizontal="center" vertical="center"/>
    </xf>
    <xf numFmtId="0" fontId="27" fillId="6" borderId="64" xfId="0" applyNumberFormat="1" applyFont="1" applyFill="1" applyBorder="1" applyAlignment="1">
      <alignment horizontal="center" vertical="center"/>
    </xf>
    <xf numFmtId="0" fontId="27" fillId="6" borderId="25" xfId="0" applyNumberFormat="1" applyFont="1" applyFill="1" applyBorder="1" applyAlignment="1">
      <alignment horizontal="center" vertical="center"/>
    </xf>
    <xf numFmtId="41" fontId="27" fillId="6" borderId="51" xfId="1" applyFont="1" applyFill="1" applyBorder="1" applyAlignment="1">
      <alignment horizontal="center" vertical="center" wrapText="1"/>
    </xf>
    <xf numFmtId="184" fontId="64" fillId="5" borderId="51" xfId="0" applyNumberFormat="1" applyFont="1" applyFill="1" applyBorder="1" applyAlignment="1">
      <alignment horizontal="right" vertical="center"/>
    </xf>
    <xf numFmtId="10" fontId="27" fillId="6" borderId="51" xfId="2" applyNumberFormat="1" applyFont="1" applyFill="1" applyBorder="1" applyAlignment="1">
      <alignment horizontal="center" vertical="center"/>
    </xf>
    <xf numFmtId="188" fontId="64" fillId="5" borderId="8" xfId="2" applyNumberFormat="1" applyFont="1" applyFill="1" applyBorder="1" applyAlignment="1">
      <alignment horizontal="center" vertical="center"/>
    </xf>
    <xf numFmtId="188" fontId="64" fillId="5" borderId="29" xfId="2" applyNumberFormat="1" applyFont="1" applyFill="1" applyBorder="1" applyAlignment="1">
      <alignment horizontal="center" vertical="center"/>
    </xf>
    <xf numFmtId="0" fontId="27" fillId="6" borderId="54" xfId="1" applyNumberFormat="1" applyFont="1" applyFill="1" applyBorder="1" applyAlignment="1">
      <alignment horizontal="center" vertical="center" wrapText="1"/>
    </xf>
    <xf numFmtId="0" fontId="27" fillId="6" borderId="3" xfId="1" applyNumberFormat="1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26" fillId="5" borderId="29" xfId="0" applyFont="1" applyFill="1" applyBorder="1" applyAlignment="1">
      <alignment horizontal="center" vertical="center"/>
    </xf>
    <xf numFmtId="0" fontId="27" fillId="6" borderId="14" xfId="1" applyNumberFormat="1" applyFont="1" applyFill="1" applyBorder="1" applyAlignment="1">
      <alignment horizontal="center" vertical="center" wrapText="1"/>
    </xf>
    <xf numFmtId="0" fontId="27" fillId="6" borderId="51" xfId="1" applyNumberFormat="1" applyFont="1" applyFill="1" applyBorder="1" applyAlignment="1">
      <alignment horizontal="center" vertical="center" wrapText="1"/>
    </xf>
    <xf numFmtId="10" fontId="64" fillId="0" borderId="51" xfId="1" applyNumberFormat="1" applyFont="1" applyFill="1" applyBorder="1" applyAlignment="1">
      <alignment horizontal="right" vertical="center"/>
    </xf>
    <xf numFmtId="184" fontId="64" fillId="0" borderId="51" xfId="1" applyNumberFormat="1" applyFont="1" applyFill="1" applyBorder="1" applyAlignment="1">
      <alignment horizontal="right" vertical="center"/>
    </xf>
    <xf numFmtId="187" fontId="64" fillId="0" borderId="51" xfId="1" applyNumberFormat="1" applyFont="1" applyFill="1" applyBorder="1" applyAlignment="1">
      <alignment horizontal="right" vertical="center"/>
    </xf>
    <xf numFmtId="10" fontId="64" fillId="5" borderId="51" xfId="2" applyNumberFormat="1" applyFont="1" applyFill="1" applyBorder="1" applyAlignment="1">
      <alignment horizontal="right" vertical="center"/>
    </xf>
    <xf numFmtId="9" fontId="64" fillId="0" borderId="8" xfId="2" applyNumberFormat="1" applyFont="1" applyFill="1" applyBorder="1" applyAlignment="1">
      <alignment horizontal="right" vertical="center"/>
    </xf>
    <xf numFmtId="9" fontId="64" fillId="0" borderId="88" xfId="2" applyNumberFormat="1" applyFont="1" applyFill="1" applyBorder="1" applyAlignment="1">
      <alignment horizontal="right" vertical="center"/>
    </xf>
    <xf numFmtId="43" fontId="27" fillId="6" borderId="51" xfId="1" applyNumberFormat="1" applyFont="1" applyFill="1" applyBorder="1" applyAlignment="1">
      <alignment horizontal="center" vertical="center" wrapText="1"/>
    </xf>
    <xf numFmtId="183" fontId="38" fillId="7" borderId="49" xfId="1" applyNumberFormat="1" applyFont="1" applyFill="1" applyBorder="1" applyAlignment="1">
      <alignment horizontal="center" vertical="center"/>
    </xf>
    <xf numFmtId="183" fontId="38" fillId="7" borderId="1" xfId="1" applyNumberFormat="1" applyFont="1" applyFill="1" applyBorder="1" applyAlignment="1">
      <alignment horizontal="center" vertical="center"/>
    </xf>
    <xf numFmtId="183" fontId="38" fillId="7" borderId="50" xfId="1" applyNumberFormat="1" applyFont="1" applyFill="1" applyBorder="1" applyAlignment="1">
      <alignment horizontal="center" vertical="center"/>
    </xf>
    <xf numFmtId="41" fontId="38" fillId="3" borderId="87" xfId="1" applyFont="1" applyFill="1" applyBorder="1" applyAlignment="1">
      <alignment horizontal="center" vertical="center"/>
    </xf>
    <xf numFmtId="41" fontId="38" fillId="3" borderId="30" xfId="1" applyFont="1" applyFill="1" applyBorder="1" applyAlignment="1">
      <alignment horizontal="center" vertical="center"/>
    </xf>
    <xf numFmtId="41" fontId="38" fillId="3" borderId="29" xfId="1" applyFont="1" applyFill="1" applyBorder="1" applyAlignment="1">
      <alignment horizontal="center" vertical="center"/>
    </xf>
    <xf numFmtId="41" fontId="38" fillId="2" borderId="125" xfId="1" applyFont="1" applyFill="1" applyBorder="1" applyAlignment="1">
      <alignment horizontal="center" vertical="center"/>
    </xf>
    <xf numFmtId="41" fontId="38" fillId="2" borderId="126" xfId="1" applyFont="1" applyFill="1" applyBorder="1" applyAlignment="1">
      <alignment horizontal="center" vertical="center"/>
    </xf>
    <xf numFmtId="41" fontId="38" fillId="2" borderId="62" xfId="1" applyFont="1" applyFill="1" applyBorder="1" applyAlignment="1">
      <alignment horizontal="center" vertical="center"/>
    </xf>
    <xf numFmtId="41" fontId="38" fillId="2" borderId="14" xfId="1" applyFont="1" applyFill="1" applyBorder="1" applyAlignment="1">
      <alignment horizontal="center" vertical="center"/>
    </xf>
    <xf numFmtId="41" fontId="38" fillId="0" borderId="13" xfId="1" applyFont="1" applyFill="1" applyBorder="1" applyAlignment="1">
      <alignment horizontal="center" vertical="center" shrinkToFit="1"/>
    </xf>
    <xf numFmtId="41" fontId="38" fillId="0" borderId="6" xfId="1" applyFont="1" applyFill="1" applyBorder="1" applyAlignment="1">
      <alignment horizontal="center" vertical="center" shrinkToFit="1"/>
    </xf>
    <xf numFmtId="211" fontId="38" fillId="3" borderId="51" xfId="1" applyNumberFormat="1" applyFont="1" applyFill="1" applyBorder="1" applyAlignment="1">
      <alignment horizontal="center" vertical="center"/>
    </xf>
    <xf numFmtId="211" fontId="38" fillId="3" borderId="82" xfId="1" applyNumberFormat="1" applyFont="1" applyFill="1" applyBorder="1" applyAlignment="1">
      <alignment horizontal="center" vertical="center"/>
    </xf>
    <xf numFmtId="0" fontId="30" fillId="6" borderId="8" xfId="1" applyNumberFormat="1" applyFont="1" applyFill="1" applyBorder="1" applyAlignment="1">
      <alignment horizontal="center" vertical="center" wrapText="1"/>
    </xf>
    <xf numFmtId="0" fontId="30" fillId="6" borderId="88" xfId="1" applyNumberFormat="1" applyFont="1" applyFill="1" applyBorder="1" applyAlignment="1">
      <alignment horizontal="center" vertical="center" wrapText="1"/>
    </xf>
    <xf numFmtId="41" fontId="38" fillId="2" borderId="61" xfId="1" applyFont="1" applyFill="1" applyBorder="1" applyAlignment="1">
      <alignment horizontal="center" vertical="center"/>
    </xf>
    <xf numFmtId="41" fontId="38" fillId="2" borderId="34" xfId="1" applyFont="1" applyFill="1" applyBorder="1" applyAlignment="1">
      <alignment horizontal="center" vertical="center"/>
    </xf>
    <xf numFmtId="41" fontId="38" fillId="2" borderId="130" xfId="1" applyFont="1" applyFill="1" applyBorder="1" applyAlignment="1">
      <alignment horizontal="center" vertical="center" wrapText="1"/>
    </xf>
    <xf numFmtId="41" fontId="38" fillId="2" borderId="78" xfId="1" applyFont="1" applyFill="1" applyBorder="1" applyAlignment="1">
      <alignment horizontal="center" vertical="center"/>
    </xf>
    <xf numFmtId="41" fontId="38" fillId="2" borderId="39" xfId="1" applyFont="1" applyFill="1" applyBorder="1" applyAlignment="1">
      <alignment horizontal="center" vertical="center"/>
    </xf>
    <xf numFmtId="41" fontId="38" fillId="2" borderId="91" xfId="1" applyFont="1" applyFill="1" applyBorder="1" applyAlignment="1">
      <alignment horizontal="center" vertical="center"/>
    </xf>
    <xf numFmtId="41" fontId="38" fillId="0" borderId="40" xfId="1" applyFont="1" applyFill="1" applyBorder="1" applyAlignment="1">
      <alignment horizontal="center" vertical="center" shrinkToFit="1"/>
    </xf>
    <xf numFmtId="41" fontId="38" fillId="0" borderId="58" xfId="1" applyFont="1" applyFill="1" applyBorder="1" applyAlignment="1">
      <alignment horizontal="center" vertical="center" shrinkToFit="1"/>
    </xf>
    <xf numFmtId="0" fontId="38" fillId="6" borderId="30" xfId="1" applyNumberFormat="1" applyFont="1" applyFill="1" applyBorder="1" applyAlignment="1">
      <alignment horizontal="center" vertical="center"/>
    </xf>
    <xf numFmtId="0" fontId="38" fillId="6" borderId="29" xfId="1" applyNumberFormat="1" applyFont="1" applyFill="1" applyBorder="1" applyAlignment="1">
      <alignment horizontal="center" vertical="center"/>
    </xf>
    <xf numFmtId="41" fontId="39" fillId="3" borderId="92" xfId="1" applyFont="1" applyFill="1" applyBorder="1" applyAlignment="1">
      <alignment horizontal="left" vertical="center" indent="1"/>
    </xf>
    <xf numFmtId="41" fontId="39" fillId="3" borderId="99" xfId="1" applyFont="1" applyFill="1" applyBorder="1" applyAlignment="1">
      <alignment horizontal="left" vertical="center" indent="1"/>
    </xf>
    <xf numFmtId="41" fontId="39" fillId="3" borderId="100" xfId="1" applyFont="1" applyFill="1" applyBorder="1" applyAlignment="1">
      <alignment horizontal="left" vertical="center" indent="1"/>
    </xf>
    <xf numFmtId="0" fontId="38" fillId="3" borderId="4" xfId="1" applyNumberFormat="1" applyFont="1" applyFill="1" applyBorder="1" applyAlignment="1">
      <alignment horizontal="center" vertical="center" wrapText="1"/>
    </xf>
    <xf numFmtId="0" fontId="38" fillId="3" borderId="5" xfId="1" applyNumberFormat="1" applyFont="1" applyFill="1" applyBorder="1" applyAlignment="1">
      <alignment horizontal="center" vertical="center" wrapText="1"/>
    </xf>
    <xf numFmtId="0" fontId="38" fillId="3" borderId="7" xfId="1" applyNumberFormat="1" applyFont="1" applyFill="1" applyBorder="1" applyAlignment="1">
      <alignment horizontal="center" vertical="center"/>
    </xf>
    <xf numFmtId="0" fontId="38" fillId="3" borderId="4" xfId="1" applyNumberFormat="1" applyFont="1" applyFill="1" applyBorder="1" applyAlignment="1">
      <alignment horizontal="center" vertical="center"/>
    </xf>
    <xf numFmtId="0" fontId="38" fillId="3" borderId="28" xfId="1" applyNumberFormat="1" applyFont="1" applyFill="1" applyBorder="1" applyAlignment="1">
      <alignment horizontal="center" vertical="center" wrapText="1"/>
    </xf>
    <xf numFmtId="0" fontId="38" fillId="3" borderId="31" xfId="1" applyNumberFormat="1" applyFont="1" applyFill="1" applyBorder="1" applyAlignment="1">
      <alignment horizontal="center" vertical="center" wrapText="1"/>
    </xf>
    <xf numFmtId="0" fontId="38" fillId="3" borderId="34" xfId="1" applyNumberFormat="1" applyFont="1" applyFill="1" applyBorder="1" applyAlignment="1">
      <alignment horizontal="center" vertical="center" wrapText="1"/>
    </xf>
    <xf numFmtId="0" fontId="38" fillId="3" borderId="9" xfId="1" applyNumberFormat="1" applyFont="1" applyFill="1" applyBorder="1" applyAlignment="1">
      <alignment horizontal="center" vertical="center" wrapText="1"/>
    </xf>
    <xf numFmtId="0" fontId="38" fillId="3" borderId="15" xfId="1" applyNumberFormat="1" applyFont="1" applyFill="1" applyBorder="1" applyAlignment="1">
      <alignment horizontal="center" vertical="center" wrapText="1"/>
    </xf>
    <xf numFmtId="0" fontId="38" fillId="3" borderId="24" xfId="1" applyNumberFormat="1" applyFont="1" applyFill="1" applyBorder="1" applyAlignment="1">
      <alignment horizontal="center" vertical="center" wrapText="1"/>
    </xf>
    <xf numFmtId="0" fontId="38" fillId="3" borderId="80" xfId="1" applyNumberFormat="1" applyFont="1" applyFill="1" applyBorder="1" applyAlignment="1">
      <alignment horizontal="center" vertical="center"/>
    </xf>
    <xf numFmtId="0" fontId="38" fillId="3" borderId="28" xfId="1" applyNumberFormat="1" applyFont="1" applyFill="1" applyBorder="1" applyAlignment="1">
      <alignment horizontal="center" vertical="center"/>
    </xf>
    <xf numFmtId="49" fontId="30" fillId="0" borderId="0" xfId="0" quotePrefix="1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200" fontId="38" fillId="7" borderId="102" xfId="1" applyNumberFormat="1" applyFont="1" applyFill="1" applyBorder="1" applyAlignment="1">
      <alignment horizontal="center" vertical="center"/>
    </xf>
    <xf numFmtId="200" fontId="38" fillId="7" borderId="95" xfId="1" applyNumberFormat="1" applyFont="1" applyFill="1" applyBorder="1" applyAlignment="1">
      <alignment horizontal="center" vertical="center"/>
    </xf>
    <xf numFmtId="183" fontId="30" fillId="0" borderId="49" xfId="1" applyNumberFormat="1" applyFont="1" applyFill="1" applyBorder="1" applyAlignment="1">
      <alignment horizontal="center" vertical="center"/>
    </xf>
    <xf numFmtId="183" fontId="30" fillId="0" borderId="50" xfId="1" applyNumberFormat="1" applyFont="1" applyFill="1" applyBorder="1" applyAlignment="1">
      <alignment horizontal="center" vertical="center"/>
    </xf>
    <xf numFmtId="211" fontId="30" fillId="0" borderId="11" xfId="1" applyNumberFormat="1" applyFont="1" applyFill="1" applyBorder="1" applyAlignment="1">
      <alignment horizontal="center" vertical="center"/>
    </xf>
    <xf numFmtId="211" fontId="30" fillId="0" borderId="12" xfId="1" applyNumberFormat="1" applyFont="1" applyFill="1" applyBorder="1" applyAlignment="1">
      <alignment horizontal="center" vertical="center"/>
    </xf>
    <xf numFmtId="211" fontId="30" fillId="0" borderId="17" xfId="1" applyNumberFormat="1" applyFont="1" applyFill="1" applyBorder="1" applyAlignment="1">
      <alignment horizontal="center" vertical="center"/>
    </xf>
    <xf numFmtId="211" fontId="30" fillId="0" borderId="18" xfId="1" applyNumberFormat="1" applyFont="1" applyFill="1" applyBorder="1" applyAlignment="1">
      <alignment horizontal="center" vertical="center"/>
    </xf>
    <xf numFmtId="211" fontId="30" fillId="0" borderId="26" xfId="1" applyNumberFormat="1" applyFont="1" applyFill="1" applyBorder="1" applyAlignment="1">
      <alignment horizontal="center" vertical="center"/>
    </xf>
    <xf numFmtId="211" fontId="30" fillId="0" borderId="27" xfId="1" applyNumberFormat="1" applyFont="1" applyFill="1" applyBorder="1" applyAlignment="1">
      <alignment horizontal="center" vertical="center"/>
    </xf>
    <xf numFmtId="212" fontId="38" fillId="7" borderId="95" xfId="1" applyNumberFormat="1" applyFont="1" applyFill="1" applyBorder="1" applyAlignment="1">
      <alignment horizontal="center" vertical="center"/>
    </xf>
    <xf numFmtId="212" fontId="38" fillId="7" borderId="96" xfId="1" applyNumberFormat="1" applyFont="1" applyFill="1" applyBorder="1" applyAlignment="1">
      <alignment horizontal="center" vertical="center"/>
    </xf>
    <xf numFmtId="41" fontId="38" fillId="2" borderId="54" xfId="1" applyFont="1" applyFill="1" applyBorder="1" applyAlignment="1">
      <alignment horizontal="center" vertical="center"/>
    </xf>
    <xf numFmtId="41" fontId="38" fillId="2" borderId="3" xfId="1" applyFont="1" applyFill="1" applyBorder="1" applyAlignment="1">
      <alignment horizontal="center" vertical="center"/>
    </xf>
    <xf numFmtId="41" fontId="38" fillId="2" borderId="130" xfId="1" applyFont="1" applyFill="1" applyBorder="1" applyAlignment="1">
      <alignment horizontal="center" vertical="center"/>
    </xf>
    <xf numFmtId="41" fontId="38" fillId="2" borderId="46" xfId="1" applyFont="1" applyFill="1" applyBorder="1" applyAlignment="1">
      <alignment horizontal="center" vertical="center"/>
    </xf>
    <xf numFmtId="41" fontId="38" fillId="2" borderId="25" xfId="1" applyFont="1" applyFill="1" applyBorder="1" applyAlignment="1">
      <alignment horizontal="center" vertical="center"/>
    </xf>
    <xf numFmtId="41" fontId="38" fillId="0" borderId="37" xfId="1" applyFont="1" applyFill="1" applyBorder="1" applyAlignment="1">
      <alignment horizontal="center" vertical="center" shrinkToFit="1"/>
    </xf>
    <xf numFmtId="41" fontId="38" fillId="0" borderId="55" xfId="1" applyFont="1" applyFill="1" applyBorder="1" applyAlignment="1">
      <alignment horizontal="center" vertical="center" shrinkToFit="1"/>
    </xf>
    <xf numFmtId="211" fontId="30" fillId="0" borderId="13" xfId="1" applyNumberFormat="1" applyFont="1" applyFill="1" applyBorder="1" applyAlignment="1">
      <alignment horizontal="center" vertical="center"/>
    </xf>
    <xf numFmtId="211" fontId="30" fillId="0" borderId="22" xfId="1" applyNumberFormat="1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24" xfId="0" applyFont="1" applyFill="1" applyBorder="1" applyAlignment="1">
      <alignment horizontal="center" vertical="center" wrapText="1"/>
    </xf>
    <xf numFmtId="0" fontId="38" fillId="4" borderId="25" xfId="0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66" fillId="0" borderId="36" xfId="3" applyFont="1" applyBorder="1" applyAlignment="1">
      <alignment horizontal="center" vertical="center" wrapText="1"/>
    </xf>
    <xf numFmtId="0" fontId="96" fillId="11" borderId="53" xfId="0" applyFont="1" applyFill="1" applyBorder="1" applyAlignment="1">
      <alignment horizontal="center" vertical="center"/>
    </xf>
    <xf numFmtId="0" fontId="96" fillId="11" borderId="42" xfId="0" applyFont="1" applyFill="1" applyBorder="1" applyAlignment="1">
      <alignment horizontal="center" vertical="center"/>
    </xf>
    <xf numFmtId="0" fontId="53" fillId="3" borderId="15" xfId="3" applyFont="1" applyFill="1" applyBorder="1" applyAlignment="1">
      <alignment horizontal="center" vertical="center" wrapText="1"/>
    </xf>
    <xf numFmtId="0" fontId="53" fillId="3" borderId="16" xfId="3" applyFont="1" applyFill="1" applyBorder="1" applyAlignment="1">
      <alignment horizontal="center" vertical="center" wrapText="1"/>
    </xf>
    <xf numFmtId="0" fontId="38" fillId="4" borderId="41" xfId="0" applyFont="1" applyFill="1" applyBorder="1" applyAlignment="1">
      <alignment horizontal="center" vertical="center"/>
    </xf>
    <xf numFmtId="0" fontId="38" fillId="4" borderId="52" xfId="0" applyFont="1" applyFill="1" applyBorder="1" applyAlignment="1">
      <alignment horizontal="center" vertical="center"/>
    </xf>
    <xf numFmtId="0" fontId="38" fillId="4" borderId="42" xfId="0" applyFont="1" applyFill="1" applyBorder="1" applyAlignment="1">
      <alignment horizontal="center" vertical="center"/>
    </xf>
    <xf numFmtId="0" fontId="66" fillId="3" borderId="39" xfId="0" applyFont="1" applyFill="1" applyBorder="1" applyAlignment="1">
      <alignment horizontal="center" vertical="center"/>
    </xf>
    <xf numFmtId="0" fontId="66" fillId="3" borderId="25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98" fillId="11" borderId="53" xfId="0" applyFont="1" applyFill="1" applyBorder="1" applyAlignment="1">
      <alignment horizontal="center" vertical="center"/>
    </xf>
    <xf numFmtId="0" fontId="98" fillId="11" borderId="42" xfId="0" applyFont="1" applyFill="1" applyBorder="1" applyAlignment="1">
      <alignment horizontal="center" vertical="center"/>
    </xf>
    <xf numFmtId="0" fontId="38" fillId="4" borderId="15" xfId="0" applyFont="1" applyFill="1" applyBorder="1" applyAlignment="1">
      <alignment horizontal="center" vertical="center" wrapText="1"/>
    </xf>
    <xf numFmtId="0" fontId="38" fillId="4" borderId="16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5" xfId="0" applyFont="1" applyFill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0" fontId="38" fillId="4" borderId="87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11" borderId="41" xfId="0" applyFont="1" applyFill="1" applyBorder="1" applyAlignment="1">
      <alignment horizontal="center" vertical="center" wrapText="1"/>
    </xf>
    <xf numFmtId="0" fontId="38" fillId="11" borderId="52" xfId="0" quotePrefix="1" applyFont="1" applyFill="1" applyBorder="1" applyAlignment="1">
      <alignment horizontal="center" vertical="center" wrapText="1"/>
    </xf>
    <xf numFmtId="0" fontId="38" fillId="11" borderId="42" xfId="0" quotePrefix="1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54" fillId="0" borderId="0" xfId="3" applyFont="1" applyBorder="1" applyAlignment="1">
      <alignment horizontal="center" vertical="center" wrapText="1"/>
    </xf>
    <xf numFmtId="176" fontId="38" fillId="0" borderId="45" xfId="0" applyNumberFormat="1" applyFont="1" applyFill="1" applyBorder="1" applyAlignment="1">
      <alignment horizontal="center" vertical="center"/>
    </xf>
    <xf numFmtId="176" fontId="38" fillId="0" borderId="46" xfId="0" applyNumberFormat="1" applyFont="1" applyFill="1" applyBorder="1" applyAlignment="1">
      <alignment horizontal="center" vertical="center"/>
    </xf>
    <xf numFmtId="176" fontId="38" fillId="0" borderId="15" xfId="0" applyNumberFormat="1" applyFont="1" applyFill="1" applyBorder="1" applyAlignment="1">
      <alignment horizontal="center" vertical="center"/>
    </xf>
    <xf numFmtId="176" fontId="38" fillId="0" borderId="16" xfId="0" applyNumberFormat="1" applyFont="1" applyFill="1" applyBorder="1" applyAlignment="1">
      <alignment horizontal="center" vertical="center"/>
    </xf>
    <xf numFmtId="176" fontId="38" fillId="0" borderId="49" xfId="0" applyNumberFormat="1" applyFont="1" applyFill="1" applyBorder="1" applyAlignment="1">
      <alignment horizontal="center" vertical="center"/>
    </xf>
    <xf numFmtId="176" fontId="38" fillId="0" borderId="50" xfId="0" applyNumberFormat="1" applyFont="1" applyFill="1" applyBorder="1" applyAlignment="1">
      <alignment horizontal="center" vertical="center"/>
    </xf>
    <xf numFmtId="0" fontId="60" fillId="0" borderId="36" xfId="3" applyFont="1" applyBorder="1" applyAlignment="1">
      <alignment horizontal="center" vertical="center" wrapText="1"/>
    </xf>
    <xf numFmtId="0" fontId="38" fillId="11" borderId="92" xfId="0" applyFont="1" applyFill="1" applyBorder="1" applyAlignment="1">
      <alignment horizontal="center" vertical="center" wrapText="1"/>
    </xf>
    <xf numFmtId="0" fontId="38" fillId="11" borderId="99" xfId="0" quotePrefix="1" applyFont="1" applyFill="1" applyBorder="1" applyAlignment="1">
      <alignment horizontal="center" vertical="center" wrapText="1"/>
    </xf>
    <xf numFmtId="0" fontId="38" fillId="11" borderId="93" xfId="0" quotePrefix="1" applyFont="1" applyFill="1" applyBorder="1" applyAlignment="1">
      <alignment horizontal="center" vertical="center" wrapText="1"/>
    </xf>
    <xf numFmtId="0" fontId="53" fillId="3" borderId="9" xfId="3" applyFont="1" applyFill="1" applyBorder="1" applyAlignment="1">
      <alignment horizontal="center" vertical="center" wrapText="1"/>
    </xf>
    <xf numFmtId="0" fontId="53" fillId="3" borderId="10" xfId="3" applyFont="1" applyFill="1" applyBorder="1" applyAlignment="1">
      <alignment horizontal="center" vertical="center" wrapText="1"/>
    </xf>
    <xf numFmtId="0" fontId="53" fillId="3" borderId="24" xfId="3" applyFont="1" applyFill="1" applyBorder="1" applyAlignment="1">
      <alignment horizontal="center" vertical="center" wrapText="1"/>
    </xf>
    <xf numFmtId="0" fontId="53" fillId="3" borderId="25" xfId="3" applyFont="1" applyFill="1" applyBorder="1" applyAlignment="1">
      <alignment horizontal="center" vertical="center" wrapText="1"/>
    </xf>
    <xf numFmtId="0" fontId="66" fillId="3" borderId="86" xfId="0" applyFont="1" applyFill="1" applyBorder="1" applyAlignment="1">
      <alignment horizontal="center" vertical="center"/>
    </xf>
    <xf numFmtId="0" fontId="66" fillId="3" borderId="50" xfId="0" applyFont="1" applyFill="1" applyBorder="1" applyAlignment="1">
      <alignment horizontal="center" vertical="center"/>
    </xf>
    <xf numFmtId="41" fontId="79" fillId="6" borderId="92" xfId="1" applyFont="1" applyFill="1" applyBorder="1" applyAlignment="1">
      <alignment horizontal="center" vertical="center" wrapText="1"/>
    </xf>
    <xf numFmtId="41" fontId="79" fillId="6" borderId="103" xfId="1" applyFont="1" applyFill="1" applyBorder="1" applyAlignment="1">
      <alignment horizontal="center" vertical="center" wrapText="1"/>
    </xf>
    <xf numFmtId="0" fontId="44" fillId="3" borderId="62" xfId="1" applyNumberFormat="1" applyFont="1" applyFill="1" applyBorder="1" applyAlignment="1">
      <alignment horizontal="center" vertical="center" wrapText="1"/>
    </xf>
    <xf numFmtId="0" fontId="44" fillId="3" borderId="14" xfId="1" applyNumberFormat="1" applyFont="1" applyFill="1" applyBorder="1" applyAlignment="1">
      <alignment horizontal="center" vertical="center" wrapText="1"/>
    </xf>
    <xf numFmtId="0" fontId="44" fillId="3" borderId="4" xfId="1" applyNumberFormat="1" applyFont="1" applyFill="1" applyBorder="1" applyAlignment="1">
      <alignment horizontal="center" vertical="center"/>
    </xf>
    <xf numFmtId="0" fontId="44" fillId="3" borderId="51" xfId="1" applyNumberFormat="1" applyFont="1" applyFill="1" applyBorder="1" applyAlignment="1">
      <alignment horizontal="center" vertical="center"/>
    </xf>
    <xf numFmtId="0" fontId="79" fillId="3" borderId="3" xfId="1" applyNumberFormat="1" applyFont="1" applyFill="1" applyBorder="1" applyAlignment="1">
      <alignment horizontal="center" vertical="center" wrapText="1"/>
    </xf>
    <xf numFmtId="0" fontId="79" fillId="3" borderId="29" xfId="1" applyNumberFormat="1" applyFont="1" applyFill="1" applyBorder="1" applyAlignment="1">
      <alignment horizontal="center" vertical="center" wrapText="1"/>
    </xf>
    <xf numFmtId="0" fontId="79" fillId="3" borderId="4" xfId="1" applyNumberFormat="1" applyFont="1" applyFill="1" applyBorder="1" applyAlignment="1">
      <alignment horizontal="center" vertical="center" wrapText="1"/>
    </xf>
    <xf numFmtId="0" fontId="79" fillId="3" borderId="51" xfId="1" applyNumberFormat="1" applyFont="1" applyFill="1" applyBorder="1" applyAlignment="1">
      <alignment horizontal="center" vertical="center" wrapText="1"/>
    </xf>
    <xf numFmtId="0" fontId="44" fillId="3" borderId="41" xfId="1" applyNumberFormat="1" applyFont="1" applyFill="1" applyBorder="1" applyAlignment="1">
      <alignment horizontal="center" vertical="center"/>
    </xf>
    <xf numFmtId="0" fontId="44" fillId="3" borderId="52" xfId="1" applyNumberFormat="1" applyFont="1" applyFill="1" applyBorder="1" applyAlignment="1">
      <alignment horizontal="center" vertical="center"/>
    </xf>
    <xf numFmtId="0" fontId="44" fillId="3" borderId="42" xfId="1" applyNumberFormat="1" applyFont="1" applyFill="1" applyBorder="1" applyAlignment="1">
      <alignment horizontal="center" vertical="center"/>
    </xf>
    <xf numFmtId="0" fontId="44" fillId="3" borderId="80" xfId="1" applyNumberFormat="1" applyFont="1" applyFill="1" applyBorder="1" applyAlignment="1">
      <alignment horizontal="center" vertical="center"/>
    </xf>
    <xf numFmtId="0" fontId="44" fillId="3" borderId="81" xfId="1" applyNumberFormat="1" applyFont="1" applyFill="1" applyBorder="1" applyAlignment="1">
      <alignment horizontal="center" vertical="center"/>
    </xf>
    <xf numFmtId="0" fontId="44" fillId="3" borderId="4" xfId="0" applyNumberFormat="1" applyFont="1" applyFill="1" applyBorder="1" applyAlignment="1">
      <alignment horizontal="center" vertical="center"/>
    </xf>
    <xf numFmtId="0" fontId="44" fillId="3" borderId="51" xfId="0" applyNumberFormat="1" applyFont="1" applyFill="1" applyBorder="1" applyAlignment="1">
      <alignment horizontal="center" vertical="center"/>
    </xf>
    <xf numFmtId="0" fontId="44" fillId="3" borderId="30" xfId="1" applyNumberFormat="1" applyFont="1" applyFill="1" applyBorder="1" applyAlignment="1">
      <alignment horizontal="center" vertical="center"/>
    </xf>
    <xf numFmtId="0" fontId="44" fillId="3" borderId="29" xfId="1" applyNumberFormat="1" applyFont="1" applyFill="1" applyBorder="1" applyAlignment="1">
      <alignment horizontal="center" vertical="center"/>
    </xf>
    <xf numFmtId="0" fontId="44" fillId="3" borderId="28" xfId="1" applyNumberFormat="1" applyFont="1" applyFill="1" applyBorder="1" applyAlignment="1">
      <alignment horizontal="center" vertical="center"/>
    </xf>
    <xf numFmtId="0" fontId="44" fillId="3" borderId="31" xfId="1" applyNumberFormat="1" applyFont="1" applyFill="1" applyBorder="1" applyAlignment="1">
      <alignment horizontal="center" vertical="center"/>
    </xf>
    <xf numFmtId="0" fontId="44" fillId="3" borderId="34" xfId="1" applyNumberFormat="1" applyFont="1" applyFill="1" applyBorder="1" applyAlignment="1">
      <alignment horizontal="center" vertical="center"/>
    </xf>
    <xf numFmtId="0" fontId="44" fillId="3" borderId="28" xfId="0" applyNumberFormat="1" applyFont="1" applyFill="1" applyBorder="1" applyAlignment="1">
      <alignment horizontal="center" vertical="center"/>
    </xf>
    <xf numFmtId="0" fontId="44" fillId="3" borderId="31" xfId="0" applyNumberFormat="1" applyFont="1" applyFill="1" applyBorder="1" applyAlignment="1">
      <alignment horizontal="center" vertical="center"/>
    </xf>
    <xf numFmtId="0" fontId="44" fillId="3" borderId="34" xfId="0" applyNumberFormat="1" applyFont="1" applyFill="1" applyBorder="1" applyAlignment="1">
      <alignment horizontal="center" vertical="center"/>
    </xf>
    <xf numFmtId="0" fontId="46" fillId="0" borderId="77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77" fontId="72" fillId="0" borderId="0" xfId="1" applyNumberFormat="1" applyFont="1" applyFill="1" applyBorder="1" applyAlignment="1">
      <alignment horizontal="left" vertical="center" wrapText="1"/>
    </xf>
    <xf numFmtId="0" fontId="79" fillId="3" borderId="5" xfId="1" applyNumberFormat="1" applyFont="1" applyFill="1" applyBorder="1" applyAlignment="1">
      <alignment horizontal="center" vertical="center" wrapText="1"/>
    </xf>
    <xf numFmtId="0" fontId="79" fillId="3" borderId="82" xfId="1" applyNumberFormat="1" applyFont="1" applyFill="1" applyBorder="1" applyAlignment="1">
      <alignment horizontal="center" vertical="center" wrapText="1"/>
    </xf>
    <xf numFmtId="49" fontId="80" fillId="0" borderId="0" xfId="0" applyNumberFormat="1" applyFont="1" applyAlignment="1">
      <alignment horizontal="center" vertical="center"/>
    </xf>
    <xf numFmtId="0" fontId="44" fillId="3" borderId="80" xfId="1" applyNumberFormat="1" applyFont="1" applyFill="1" applyBorder="1" applyAlignment="1">
      <alignment horizontal="center" vertical="center" wrapText="1"/>
    </xf>
    <xf numFmtId="0" fontId="44" fillId="3" borderId="4" xfId="1" applyNumberFormat="1" applyFont="1" applyFill="1" applyBorder="1" applyAlignment="1">
      <alignment horizontal="center" vertical="center" wrapText="1"/>
    </xf>
    <xf numFmtId="0" fontId="44" fillId="3" borderId="5" xfId="1" applyNumberFormat="1" applyFont="1" applyFill="1" applyBorder="1" applyAlignment="1">
      <alignment horizontal="center" vertical="center" wrapText="1"/>
    </xf>
    <xf numFmtId="0" fontId="42" fillId="6" borderId="8" xfId="1" applyNumberFormat="1" applyFont="1" applyFill="1" applyBorder="1" applyAlignment="1">
      <alignment horizontal="center" vertical="center"/>
    </xf>
    <xf numFmtId="0" fontId="42" fillId="6" borderId="30" xfId="1" applyNumberFormat="1" applyFont="1" applyFill="1" applyBorder="1" applyAlignment="1">
      <alignment horizontal="center" vertical="center"/>
    </xf>
    <xf numFmtId="0" fontId="38" fillId="3" borderId="8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41" fontId="38" fillId="6" borderId="87" xfId="1" applyFont="1" applyFill="1" applyBorder="1" applyAlignment="1">
      <alignment horizontal="center" vertical="center"/>
    </xf>
    <xf numFmtId="41" fontId="38" fillId="6" borderId="30" xfId="1" applyFont="1" applyFill="1" applyBorder="1" applyAlignment="1">
      <alignment horizontal="center" vertical="center"/>
    </xf>
    <xf numFmtId="41" fontId="38" fillId="6" borderId="29" xfId="1" applyFont="1" applyFill="1" applyBorder="1" applyAlignment="1">
      <alignment horizontal="center" vertical="center"/>
    </xf>
    <xf numFmtId="0" fontId="38" fillId="3" borderId="73" xfId="2" applyNumberFormat="1" applyFont="1" applyFill="1" applyBorder="1" applyAlignment="1">
      <alignment horizontal="left" vertical="center" indent="3"/>
    </xf>
    <xf numFmtId="0" fontId="38" fillId="3" borderId="17" xfId="2" applyNumberFormat="1" applyFont="1" applyFill="1" applyBorder="1" applyAlignment="1">
      <alignment horizontal="left" vertical="center" indent="3"/>
    </xf>
    <xf numFmtId="196" fontId="38" fillId="0" borderId="9" xfId="0" applyNumberFormat="1" applyFont="1" applyFill="1" applyBorder="1" applyAlignment="1">
      <alignment horizontal="left" vertical="center" indent="2"/>
    </xf>
    <xf numFmtId="196" fontId="38" fillId="0" borderId="23" xfId="0" applyNumberFormat="1" applyFont="1" applyFill="1" applyBorder="1" applyAlignment="1">
      <alignment horizontal="left" vertical="center" indent="2"/>
    </xf>
    <xf numFmtId="196" fontId="38" fillId="0" borderId="87" xfId="0" applyNumberFormat="1" applyFont="1" applyFill="1" applyBorder="1" applyAlignment="1">
      <alignment horizontal="left" vertical="center" indent="2"/>
    </xf>
    <xf numFmtId="196" fontId="38" fillId="0" borderId="30" xfId="0" applyNumberFormat="1" applyFont="1" applyFill="1" applyBorder="1" applyAlignment="1">
      <alignment horizontal="left" vertical="center" indent="2"/>
    </xf>
    <xf numFmtId="179" fontId="38" fillId="0" borderId="87" xfId="2" applyNumberFormat="1" applyFont="1" applyFill="1" applyBorder="1" applyAlignment="1">
      <alignment horizontal="left" vertical="center" indent="2"/>
    </xf>
    <xf numFmtId="179" fontId="38" fillId="0" borderId="30" xfId="2" applyNumberFormat="1" applyFont="1" applyFill="1" applyBorder="1" applyAlignment="1">
      <alignment horizontal="left" vertical="center" indent="2"/>
    </xf>
    <xf numFmtId="179" fontId="38" fillId="0" borderId="24" xfId="2" applyNumberFormat="1" applyFont="1" applyFill="1" applyBorder="1" applyAlignment="1">
      <alignment horizontal="left" vertical="center" indent="2"/>
    </xf>
    <xf numFmtId="179" fontId="38" fillId="0" borderId="64" xfId="2" applyNumberFormat="1" applyFont="1" applyFill="1" applyBorder="1" applyAlignment="1">
      <alignment horizontal="left" vertical="center" indent="2"/>
    </xf>
    <xf numFmtId="196" fontId="38" fillId="3" borderId="77" xfId="0" applyNumberFormat="1" applyFont="1" applyFill="1" applyBorder="1" applyAlignment="1">
      <alignment horizontal="center" vertical="center"/>
    </xf>
    <xf numFmtId="0" fontId="38" fillId="3" borderId="32" xfId="2" applyNumberFormat="1" applyFont="1" applyFill="1" applyBorder="1" applyAlignment="1">
      <alignment horizontal="left" vertical="center" indent="3"/>
    </xf>
    <xf numFmtId="0" fontId="38" fillId="3" borderId="123" xfId="2" applyNumberFormat="1" applyFont="1" applyFill="1" applyBorder="1" applyAlignment="1">
      <alignment horizontal="left" vertical="center" indent="3"/>
    </xf>
    <xf numFmtId="179" fontId="30" fillId="0" borderId="37" xfId="2" applyNumberFormat="1" applyFont="1" applyFill="1" applyBorder="1" applyAlignment="1">
      <alignment horizontal="left" vertical="center" indent="2"/>
    </xf>
    <xf numFmtId="179" fontId="30" fillId="0" borderId="55" xfId="2" applyNumberFormat="1" applyFont="1" applyFill="1" applyBorder="1" applyAlignment="1">
      <alignment horizontal="left" vertical="center" indent="2"/>
    </xf>
    <xf numFmtId="179" fontId="30" fillId="0" borderId="13" xfId="2" applyNumberFormat="1" applyFont="1" applyFill="1" applyBorder="1" applyAlignment="1">
      <alignment horizontal="left" vertical="center" indent="2"/>
    </xf>
    <xf numFmtId="179" fontId="30" fillId="0" borderId="6" xfId="2" applyNumberFormat="1" applyFont="1" applyFill="1" applyBorder="1" applyAlignment="1">
      <alignment horizontal="left" vertical="center" indent="2"/>
    </xf>
    <xf numFmtId="179" fontId="30" fillId="0" borderId="40" xfId="2" applyNumberFormat="1" applyFont="1" applyFill="1" applyBorder="1" applyAlignment="1">
      <alignment horizontal="left" vertical="center" indent="2"/>
    </xf>
    <xf numFmtId="179" fontId="30" fillId="0" borderId="58" xfId="2" applyNumberFormat="1" applyFont="1" applyFill="1" applyBorder="1" applyAlignment="1">
      <alignment horizontal="left" vertical="center" indent="2"/>
    </xf>
    <xf numFmtId="0" fontId="38" fillId="3" borderId="132" xfId="0" applyNumberFormat="1" applyFont="1" applyFill="1" applyBorder="1" applyAlignment="1">
      <alignment horizontal="left" vertical="center" indent="3"/>
    </xf>
    <xf numFmtId="0" fontId="38" fillId="3" borderId="47" xfId="0" applyNumberFormat="1" applyFont="1" applyFill="1" applyBorder="1" applyAlignment="1">
      <alignment horizontal="left" vertical="center" indent="3"/>
    </xf>
    <xf numFmtId="0" fontId="38" fillId="3" borderId="73" xfId="0" applyNumberFormat="1" applyFont="1" applyFill="1" applyBorder="1" applyAlignment="1">
      <alignment horizontal="left" vertical="center" indent="3"/>
    </xf>
    <xf numFmtId="0" fontId="38" fillId="3" borderId="17" xfId="0" applyNumberFormat="1" applyFont="1" applyFill="1" applyBorder="1" applyAlignment="1">
      <alignment horizontal="left" vertical="center" indent="3"/>
    </xf>
    <xf numFmtId="0" fontId="38" fillId="3" borderId="47" xfId="1" applyNumberFormat="1" applyFont="1" applyFill="1" applyBorder="1" applyAlignment="1">
      <alignment horizontal="left" vertical="center" indent="3"/>
    </xf>
    <xf numFmtId="0" fontId="27" fillId="0" borderId="72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38" fillId="3" borderId="17" xfId="1" applyNumberFormat="1" applyFont="1" applyFill="1" applyBorder="1" applyAlignment="1">
      <alignment horizontal="left" vertical="center" indent="3"/>
    </xf>
    <xf numFmtId="0" fontId="38" fillId="5" borderId="17" xfId="1" applyNumberFormat="1" applyFont="1" applyFill="1" applyBorder="1" applyAlignment="1">
      <alignment horizontal="left" vertical="center" indent="3"/>
    </xf>
    <xf numFmtId="0" fontId="73" fillId="3" borderId="106" xfId="1" applyNumberFormat="1" applyFont="1" applyFill="1" applyBorder="1" applyAlignment="1">
      <alignment horizontal="center" vertical="center" wrapText="1"/>
    </xf>
    <xf numFmtId="0" fontId="73" fillId="3" borderId="107" xfId="1" applyNumberFormat="1" applyFont="1" applyFill="1" applyBorder="1" applyAlignment="1">
      <alignment horizontal="center" vertical="center" wrapText="1"/>
    </xf>
    <xf numFmtId="0" fontId="73" fillId="3" borderId="61" xfId="0" applyNumberFormat="1" applyFont="1" applyFill="1" applyBorder="1" applyAlignment="1">
      <alignment horizontal="center" vertical="center" wrapText="1"/>
    </xf>
    <xf numFmtId="0" fontId="73" fillId="3" borderId="31" xfId="0" applyNumberFormat="1" applyFont="1" applyFill="1" applyBorder="1" applyAlignment="1">
      <alignment horizontal="center" vertical="center" wrapText="1"/>
    </xf>
    <xf numFmtId="179" fontId="75" fillId="6" borderId="78" xfId="2" applyNumberFormat="1" applyFont="1" applyFill="1" applyBorder="1" applyAlignment="1">
      <alignment horizontal="center" vertical="center" wrapText="1"/>
    </xf>
    <xf numFmtId="179" fontId="75" fillId="6" borderId="90" xfId="2" applyNumberFormat="1" applyFont="1" applyFill="1" applyBorder="1" applyAlignment="1">
      <alignment horizontal="center" vertical="center" wrapText="1"/>
    </xf>
    <xf numFmtId="0" fontId="73" fillId="3" borderId="62" xfId="0" applyNumberFormat="1" applyFont="1" applyFill="1" applyBorder="1" applyAlignment="1">
      <alignment horizontal="center" vertical="center" wrapText="1"/>
    </xf>
    <xf numFmtId="0" fontId="73" fillId="3" borderId="19" xfId="0" applyNumberFormat="1" applyFont="1" applyFill="1" applyBorder="1" applyAlignment="1">
      <alignment horizontal="center" vertical="center" wrapText="1"/>
    </xf>
    <xf numFmtId="0" fontId="73" fillId="3" borderId="56" xfId="0" applyNumberFormat="1" applyFont="1" applyFill="1" applyBorder="1" applyAlignment="1">
      <alignment horizontal="center" vertical="center"/>
    </xf>
    <xf numFmtId="0" fontId="73" fillId="3" borderId="111" xfId="0" applyNumberFormat="1" applyFont="1" applyFill="1" applyBorder="1" applyAlignment="1">
      <alignment horizontal="center" vertical="center"/>
    </xf>
    <xf numFmtId="0" fontId="73" fillId="3" borderId="54" xfId="0" applyNumberFormat="1" applyFont="1" applyFill="1" applyBorder="1" applyAlignment="1">
      <alignment horizontal="center" vertical="center"/>
    </xf>
    <xf numFmtId="0" fontId="73" fillId="3" borderId="3" xfId="0" applyNumberFormat="1" applyFont="1" applyFill="1" applyBorder="1" applyAlignment="1">
      <alignment horizontal="center" vertical="center"/>
    </xf>
    <xf numFmtId="0" fontId="73" fillId="3" borderId="101" xfId="1" applyNumberFormat="1" applyFont="1" applyFill="1" applyBorder="1" applyAlignment="1">
      <alignment horizontal="center" vertical="center" wrapText="1"/>
    </xf>
    <xf numFmtId="0" fontId="73" fillId="3" borderId="94" xfId="1" applyNumberFormat="1" applyFont="1" applyFill="1" applyBorder="1" applyAlignment="1">
      <alignment horizontal="center" vertical="center" wrapText="1"/>
    </xf>
    <xf numFmtId="0" fontId="73" fillId="3" borderId="4" xfId="0" applyNumberFormat="1" applyFont="1" applyFill="1" applyBorder="1" applyAlignment="1">
      <alignment horizontal="center" vertical="center" wrapText="1"/>
    </xf>
    <xf numFmtId="0" fontId="73" fillId="3" borderId="51" xfId="0" applyNumberFormat="1" applyFont="1" applyFill="1" applyBorder="1" applyAlignment="1">
      <alignment horizontal="center" vertical="center" wrapText="1"/>
    </xf>
    <xf numFmtId="0" fontId="73" fillId="6" borderId="78" xfId="2" applyNumberFormat="1" applyFont="1" applyFill="1" applyBorder="1" applyAlignment="1">
      <alignment horizontal="center" vertical="center" wrapText="1"/>
    </xf>
    <xf numFmtId="0" fontId="73" fillId="6" borderId="90" xfId="2" applyNumberFormat="1" applyFont="1" applyFill="1" applyBorder="1" applyAlignment="1">
      <alignment horizontal="center" vertical="center" wrapText="1"/>
    </xf>
    <xf numFmtId="0" fontId="73" fillId="3" borderId="3" xfId="0" applyNumberFormat="1" applyFont="1" applyFill="1" applyBorder="1" applyAlignment="1">
      <alignment horizontal="center" vertical="center" wrapText="1"/>
    </xf>
    <xf numFmtId="0" fontId="73" fillId="3" borderId="29" xfId="0" applyNumberFormat="1" applyFont="1" applyFill="1" applyBorder="1" applyAlignment="1">
      <alignment horizontal="center" vertical="center" wrapText="1"/>
    </xf>
    <xf numFmtId="0" fontId="73" fillId="3" borderId="56" xfId="1" applyNumberFormat="1" applyFont="1" applyFill="1" applyBorder="1" applyAlignment="1">
      <alignment horizontal="center" vertical="center" wrapText="1"/>
    </xf>
    <xf numFmtId="0" fontId="73" fillId="3" borderId="111" xfId="1" applyNumberFormat="1" applyFont="1" applyFill="1" applyBorder="1" applyAlignment="1">
      <alignment horizontal="center" vertical="center" wrapText="1"/>
    </xf>
    <xf numFmtId="0" fontId="73" fillId="3" borderId="54" xfId="1" applyNumberFormat="1" applyFont="1" applyFill="1" applyBorder="1" applyAlignment="1">
      <alignment horizontal="center" vertical="center" wrapText="1"/>
    </xf>
    <xf numFmtId="0" fontId="73" fillId="3" borderId="3" xfId="1" applyNumberFormat="1" applyFont="1" applyFill="1" applyBorder="1" applyAlignment="1">
      <alignment horizontal="center" vertical="center" wrapText="1"/>
    </xf>
    <xf numFmtId="0" fontId="37" fillId="3" borderId="5" xfId="1" applyNumberFormat="1" applyFont="1" applyFill="1" applyBorder="1" applyAlignment="1">
      <alignment horizontal="center" vertical="center" wrapText="1" shrinkToFit="1"/>
    </xf>
    <xf numFmtId="0" fontId="37" fillId="3" borderId="82" xfId="1" applyNumberFormat="1" applyFont="1" applyFill="1" applyBorder="1" applyAlignment="1">
      <alignment horizontal="center" vertical="center" shrinkToFit="1"/>
    </xf>
    <xf numFmtId="0" fontId="37" fillId="3" borderId="80" xfId="1" applyNumberFormat="1" applyFont="1" applyFill="1" applyBorder="1" applyAlignment="1">
      <alignment horizontal="center" vertical="center" wrapText="1" shrinkToFit="1"/>
    </xf>
    <xf numFmtId="0" fontId="37" fillId="3" borderId="81" xfId="1" applyNumberFormat="1" applyFont="1" applyFill="1" applyBorder="1" applyAlignment="1">
      <alignment horizontal="center" vertical="center" shrinkToFit="1"/>
    </xf>
    <xf numFmtId="0" fontId="37" fillId="3" borderId="4" xfId="1" applyNumberFormat="1" applyFont="1" applyFill="1" applyBorder="1" applyAlignment="1">
      <alignment horizontal="center" vertical="center" wrapText="1" shrinkToFit="1"/>
    </xf>
    <xf numFmtId="0" fontId="37" fillId="3" borderId="51" xfId="1" applyNumberFormat="1" applyFont="1" applyFill="1" applyBorder="1" applyAlignment="1">
      <alignment horizontal="center" vertical="center" shrinkToFit="1"/>
    </xf>
    <xf numFmtId="0" fontId="37" fillId="3" borderId="130" xfId="0" applyNumberFormat="1" applyFont="1" applyFill="1" applyBorder="1" applyAlignment="1">
      <alignment horizontal="center" vertical="center" shrinkToFit="1"/>
    </xf>
    <xf numFmtId="0" fontId="37" fillId="3" borderId="77" xfId="0" applyNumberFormat="1" applyFont="1" applyFill="1" applyBorder="1" applyAlignment="1">
      <alignment horizontal="center" vertical="center" shrinkToFit="1"/>
    </xf>
    <xf numFmtId="0" fontId="37" fillId="3" borderId="46" xfId="0" applyNumberFormat="1" applyFont="1" applyFill="1" applyBorder="1" applyAlignment="1">
      <alignment horizontal="center" vertical="center" shrinkToFit="1"/>
    </xf>
    <xf numFmtId="0" fontId="37" fillId="3" borderId="54" xfId="1" applyNumberFormat="1" applyFont="1" applyFill="1" applyBorder="1" applyAlignment="1">
      <alignment horizontal="center" vertical="center" shrinkToFit="1"/>
    </xf>
    <xf numFmtId="0" fontId="37" fillId="3" borderId="56" xfId="1" applyNumberFormat="1" applyFont="1" applyFill="1" applyBorder="1" applyAlignment="1">
      <alignment horizontal="center" vertical="center" shrinkToFit="1"/>
    </xf>
    <xf numFmtId="0" fontId="37" fillId="3" borderId="3" xfId="1" applyNumberFormat="1" applyFont="1" applyFill="1" applyBorder="1" applyAlignment="1">
      <alignment horizontal="center" vertical="center" shrinkToFit="1"/>
    </xf>
    <xf numFmtId="0" fontId="107" fillId="4" borderId="9" xfId="0" applyFont="1" applyFill="1" applyBorder="1" applyAlignment="1">
      <alignment horizontal="center" vertical="center" wrapText="1"/>
    </xf>
    <xf numFmtId="0" fontId="107" fillId="4" borderId="10" xfId="0" applyFont="1" applyFill="1" applyBorder="1" applyAlignment="1">
      <alignment horizontal="center" vertical="center" wrapText="1"/>
    </xf>
    <xf numFmtId="0" fontId="108" fillId="0" borderId="17" xfId="0" applyFont="1" applyFill="1" applyBorder="1" applyAlignment="1">
      <alignment horizontal="center" vertical="center"/>
    </xf>
    <xf numFmtId="0" fontId="107" fillId="4" borderId="24" xfId="0" applyFont="1" applyFill="1" applyBorder="1" applyAlignment="1">
      <alignment horizontal="center" vertical="center" wrapText="1"/>
    </xf>
    <xf numFmtId="0" fontId="107" fillId="4" borderId="25" xfId="0" applyFont="1" applyFill="1" applyBorder="1" applyAlignment="1">
      <alignment horizontal="center" vertical="center" wrapText="1"/>
    </xf>
    <xf numFmtId="0" fontId="108" fillId="0" borderId="33" xfId="0" applyFont="1" applyFill="1" applyBorder="1" applyAlignment="1">
      <alignment horizontal="center" vertical="center"/>
    </xf>
    <xf numFmtId="0" fontId="108" fillId="0" borderId="47" xfId="3" applyFont="1" applyBorder="1" applyAlignment="1">
      <alignment horizontal="center" vertical="center" wrapText="1"/>
    </xf>
    <xf numFmtId="10" fontId="109" fillId="0" borderId="47" xfId="2" applyNumberFormat="1" applyFont="1" applyFill="1" applyBorder="1" applyAlignment="1">
      <alignment horizontal="right" vertical="center"/>
    </xf>
    <xf numFmtId="0" fontId="108" fillId="0" borderId="17" xfId="3" applyFont="1" applyBorder="1" applyAlignment="1">
      <alignment horizontal="center" vertical="center" wrapText="1"/>
    </xf>
    <xf numFmtId="9" fontId="109" fillId="0" borderId="17" xfId="1" applyNumberFormat="1" applyFont="1" applyFill="1" applyBorder="1" applyAlignment="1">
      <alignment horizontal="right" vertical="center"/>
    </xf>
    <xf numFmtId="0" fontId="105" fillId="0" borderId="48" xfId="0" applyFont="1" applyFill="1" applyBorder="1" applyAlignment="1">
      <alignment vertical="center" shrinkToFit="1"/>
    </xf>
    <xf numFmtId="0" fontId="106" fillId="0" borderId="27" xfId="0" applyFont="1" applyFill="1" applyBorder="1" applyAlignment="1">
      <alignment vertical="center" shrinkToFit="1"/>
    </xf>
    <xf numFmtId="0" fontId="107" fillId="3" borderId="45" xfId="3" applyFont="1" applyFill="1" applyBorder="1" applyAlignment="1">
      <alignment horizontal="center" vertical="center" wrapText="1"/>
    </xf>
    <xf numFmtId="0" fontId="107" fillId="3" borderId="46" xfId="3" applyFont="1" applyFill="1" applyBorder="1" applyAlignment="1">
      <alignment horizontal="center" vertical="center" wrapText="1"/>
    </xf>
    <xf numFmtId="0" fontId="107" fillId="3" borderId="15" xfId="3" applyFont="1" applyFill="1" applyBorder="1" applyAlignment="1">
      <alignment horizontal="center" vertical="center" wrapText="1"/>
    </xf>
    <xf numFmtId="0" fontId="107" fillId="3" borderId="16" xfId="3" applyFont="1" applyFill="1" applyBorder="1" applyAlignment="1">
      <alignment horizontal="center" vertical="center" wrapText="1"/>
    </xf>
    <xf numFmtId="42" fontId="109" fillId="0" borderId="17" xfId="2" applyNumberFormat="1" applyFont="1" applyFill="1" applyBorder="1" applyAlignment="1">
      <alignment horizontal="right" vertical="center"/>
    </xf>
    <xf numFmtId="9" fontId="60" fillId="0" borderId="11" xfId="2" applyFont="1" applyFill="1" applyBorder="1" applyAlignment="1">
      <alignment vertical="center"/>
    </xf>
    <xf numFmtId="0" fontId="109" fillId="0" borderId="18" xfId="0" applyFont="1" applyFill="1" applyBorder="1" applyAlignment="1">
      <alignment vertical="center" shrinkToFit="1"/>
    </xf>
    <xf numFmtId="41" fontId="109" fillId="0" borderId="17" xfId="1" applyFont="1" applyFill="1" applyBorder="1" applyAlignment="1">
      <alignment horizontal="right" vertical="center"/>
    </xf>
    <xf numFmtId="9" fontId="60" fillId="0" borderId="26" xfId="2" applyFont="1" applyFill="1" applyBorder="1" applyAlignment="1">
      <alignment vertical="center"/>
    </xf>
    <xf numFmtId="0" fontId="109" fillId="0" borderId="27" xfId="0" applyFont="1" applyFill="1" applyBorder="1" applyAlignment="1">
      <alignment vertical="center" shrinkToFit="1"/>
    </xf>
  </cellXfs>
  <cellStyles count="10">
    <cellStyle name="백분율" xfId="2" builtinId="5"/>
    <cellStyle name="쉼표 [0]" xfId="1" builtinId="6"/>
    <cellStyle name="쉼표 [0] 2" xfId="4"/>
    <cellStyle name="쉼표 [0] 2 2" xfId="6"/>
    <cellStyle name="표준" xfId="0" builtinId="0"/>
    <cellStyle name="표준 2" xfId="3"/>
    <cellStyle name="표준 2 2" xfId="7"/>
    <cellStyle name="표준 3" xfId="5"/>
    <cellStyle name="표준 3 2" xfId="8"/>
    <cellStyle name="하이퍼링크" xfId="9" builtinId="8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2-47E3-94FF-3F85A20C4B4F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2-47E3-94FF-3F85A20C4B4F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2-47E3-94FF-3F85A20C4B4F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02-47E3-94FF-3F85A20C4B4F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02-47E3-94FF-3F85A20C4B4F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02-47E3-94FF-3F85A20C4B4F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02-47E3-94FF-3F85A20C4B4F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02-47E3-94FF-3F85A20C4B4F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02-47E3-94FF-3F85A20C4B4F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02-47E3-94FF-3F85A20C4B4F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02-47E3-94FF-3F85A20C4B4F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02-47E3-94FF-3F85A20C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256"/>
        <c:axId val="207633792"/>
      </c:barChart>
      <c:catAx>
        <c:axId val="207632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633792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763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63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B-491D-9C94-77AFC34D8DDB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B-491D-9C94-77AFC34D8DDB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B-491D-9C94-77AFC34D8DDB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B-491D-9C94-77AFC34D8DDB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B-491D-9C94-77AFC34D8DDB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9B-491D-9C94-77AFC34D8DDB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9B-491D-9C94-77AFC34D8DDB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9B-491D-9C94-77AFC34D8DDB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B-491D-9C94-77AFC34D8DDB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9B-491D-9C94-77AFC34D8DDB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9B-491D-9C94-77AFC34D8DDB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9B-491D-9C94-77AFC34D8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87744"/>
        <c:axId val="207489280"/>
      </c:barChart>
      <c:catAx>
        <c:axId val="20748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489280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748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487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5-46AE-8ECF-F6C66159F0B6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5-46AE-8ECF-F6C66159F0B6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5-46AE-8ECF-F6C66159F0B6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55-46AE-8ECF-F6C66159F0B6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55-46AE-8ECF-F6C66159F0B6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55-46AE-8ECF-F6C66159F0B6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55-46AE-8ECF-F6C66159F0B6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55-46AE-8ECF-F6C66159F0B6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55-46AE-8ECF-F6C66159F0B6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55-46AE-8ECF-F6C66159F0B6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55-46AE-8ECF-F6C66159F0B6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55-46AE-8ECF-F6C66159F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92544"/>
        <c:axId val="208110720"/>
      </c:barChart>
      <c:catAx>
        <c:axId val="20809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110720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81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092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3-4AF7-994E-E01DFBC52FC9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3-4AF7-994E-E01DFBC52FC9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3-4AF7-994E-E01DFBC52FC9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3-4AF7-994E-E01DFBC52FC9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E3-4AF7-994E-E01DFBC52FC9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E3-4AF7-994E-E01DFBC52FC9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E3-4AF7-994E-E01DFBC52FC9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E3-4AF7-994E-E01DFBC52FC9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E3-4AF7-994E-E01DFBC52FC9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E3-4AF7-994E-E01DFBC52FC9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E3-4AF7-994E-E01DFBC52FC9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E3-4AF7-994E-E01DFBC5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67520"/>
        <c:axId val="208142336"/>
      </c:barChart>
      <c:catAx>
        <c:axId val="20826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142336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814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26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D-4B95-9E9D-F59E17CDEC20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D-4B95-9E9D-F59E17CDEC20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D-4B95-9E9D-F59E17CDEC20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DD-4B95-9E9D-F59E17CDEC20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DD-4B95-9E9D-F59E17CDEC20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DD-4B95-9E9D-F59E17CDEC20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DD-4B95-9E9D-F59E17CDEC20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DD-4B95-9E9D-F59E17CDEC20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DD-4B95-9E9D-F59E17CDEC20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DD-4B95-9E9D-F59E17CDEC20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DD-4B95-9E9D-F59E17CDEC20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DD-4B95-9E9D-F59E17CD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13344"/>
        <c:axId val="208319232"/>
      </c:barChart>
      <c:catAx>
        <c:axId val="20831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319232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831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831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'&lt;서식6&gt;현금유입'!$K$5</c:f>
              <c:strCache>
                <c:ptCount val="1"/>
                <c:pt idx="0">
                  <c:v>임대보증금 
총액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'&lt;서식6&gt;현금유입'!$K$7:$K$36</c:f>
              <c:numCache>
                <c:formatCode>_(* #,##0_);_(* \(#,##0\);_(* "-"_);_(@_)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7-4AEE-B77C-218B9E3FE57B}"/>
            </c:ext>
          </c:extLst>
        </c:ser>
        <c:ser>
          <c:idx val="1"/>
          <c:order val="1"/>
          <c:tx>
            <c:strRef>
              <c:f>사업수지분석!#REF!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'&lt;서식6&gt;현금유입'!$N$7:$N$36</c:f>
              <c:numCache>
                <c:formatCode>_(* #,##0_);_(* \(#,##0\);_(* "-"_);_(@_)</c:formatCode>
                <c:ptCount val="30"/>
                <c:pt idx="0">
                  <c:v>12000000</c:v>
                </c:pt>
                <c:pt idx="1">
                  <c:v>18000000</c:v>
                </c:pt>
                <c:pt idx="2">
                  <c:v>18180000</c:v>
                </c:pt>
                <c:pt idx="3">
                  <c:v>18180000</c:v>
                </c:pt>
                <c:pt idx="4">
                  <c:v>18361800</c:v>
                </c:pt>
                <c:pt idx="5">
                  <c:v>18361800</c:v>
                </c:pt>
                <c:pt idx="6">
                  <c:v>18729036</c:v>
                </c:pt>
                <c:pt idx="7">
                  <c:v>18729036</c:v>
                </c:pt>
                <c:pt idx="8">
                  <c:v>19103616.719999999</c:v>
                </c:pt>
                <c:pt idx="9">
                  <c:v>19103616.719999999</c:v>
                </c:pt>
                <c:pt idx="10">
                  <c:v>19676725.2216</c:v>
                </c:pt>
                <c:pt idx="11">
                  <c:v>19676725.2216</c:v>
                </c:pt>
                <c:pt idx="12">
                  <c:v>20463794.230464</c:v>
                </c:pt>
                <c:pt idx="13">
                  <c:v>20463794.230464</c:v>
                </c:pt>
                <c:pt idx="14">
                  <c:v>21282345.999682561</c:v>
                </c:pt>
                <c:pt idx="15">
                  <c:v>21282345.999682561</c:v>
                </c:pt>
                <c:pt idx="16">
                  <c:v>22346463.299666688</c:v>
                </c:pt>
                <c:pt idx="17">
                  <c:v>22346463.299666688</c:v>
                </c:pt>
                <c:pt idx="18">
                  <c:v>23463786.464650024</c:v>
                </c:pt>
                <c:pt idx="19">
                  <c:v>23463786.464650024</c:v>
                </c:pt>
                <c:pt idx="20">
                  <c:v>24636975.787882525</c:v>
                </c:pt>
                <c:pt idx="21">
                  <c:v>24636975.787882525</c:v>
                </c:pt>
                <c:pt idx="22">
                  <c:v>25868824.577276655</c:v>
                </c:pt>
                <c:pt idx="23">
                  <c:v>25868824.577276655</c:v>
                </c:pt>
                <c:pt idx="24">
                  <c:v>27162265.80614049</c:v>
                </c:pt>
                <c:pt idx="25">
                  <c:v>27162265.80614049</c:v>
                </c:pt>
                <c:pt idx="26">
                  <c:v>28520379.096447516</c:v>
                </c:pt>
                <c:pt idx="27">
                  <c:v>28520379.096447516</c:v>
                </c:pt>
                <c:pt idx="28">
                  <c:v>29946398.051269893</c:v>
                </c:pt>
                <c:pt idx="29">
                  <c:v>29946398.051269893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7-4AEE-B77C-218B9E3FE57B}"/>
            </c:ext>
          </c:extLst>
        </c:ser>
        <c:ser>
          <c:idx val="2"/>
          <c:order val="2"/>
          <c:tx>
            <c:strRef>
              <c:f>'&lt;서식6&gt;현금유입'!$Q$4</c:f>
              <c:strCache>
                <c:ptCount val="1"/>
                <c:pt idx="0">
                  <c:v>임대료
인상률
(매 2년)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'&lt;서식6&gt;현금유입'!$Q$7:$Q$36</c:f>
              <c:numCache>
                <c:formatCode>0.0%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0.02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0.04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</c:v>
                </c:pt>
                <c:pt idx="18">
                  <c:v>0.05</c:v>
                </c:pt>
                <c:pt idx="19">
                  <c:v>0</c:v>
                </c:pt>
                <c:pt idx="20">
                  <c:v>0.05</c:v>
                </c:pt>
                <c:pt idx="21">
                  <c:v>0</c:v>
                </c:pt>
                <c:pt idx="22">
                  <c:v>0.05</c:v>
                </c:pt>
                <c:pt idx="23">
                  <c:v>0</c:v>
                </c:pt>
                <c:pt idx="24">
                  <c:v>0.05</c:v>
                </c:pt>
                <c:pt idx="25">
                  <c:v>0</c:v>
                </c:pt>
                <c:pt idx="26">
                  <c:v>0.05</c:v>
                </c:pt>
                <c:pt idx="27">
                  <c:v>0</c:v>
                </c:pt>
                <c:pt idx="28">
                  <c:v>0.05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7-4AEE-B77C-218B9E3FE57B}"/>
            </c:ext>
          </c:extLst>
        </c:ser>
        <c:ser>
          <c:idx val="3"/>
          <c:order val="3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C7-4AEE-B77C-218B9E3FE57B}"/>
            </c:ext>
          </c:extLst>
        </c:ser>
        <c:ser>
          <c:idx val="4"/>
          <c:order val="4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C7-4AEE-B77C-218B9E3FE57B}"/>
            </c:ext>
          </c:extLst>
        </c:ser>
        <c:ser>
          <c:idx val="5"/>
          <c:order val="5"/>
          <c:tx>
            <c:strRef>
              <c:f>'&lt;서식6&gt;현금유입'!$N$5</c:f>
              <c:strCache>
                <c:ptCount val="1"/>
                <c:pt idx="0">
                  <c:v>임대료수입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사업수지분석!#REF!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C7-4AEE-B77C-218B9E3FE57B}"/>
            </c:ext>
          </c:extLst>
        </c:ser>
        <c:ser>
          <c:idx val="6"/>
          <c:order val="6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C7-4AEE-B77C-218B9E3FE57B}"/>
            </c:ext>
          </c:extLst>
        </c:ser>
        <c:ser>
          <c:idx val="7"/>
          <c:order val="7"/>
          <c:tx>
            <c:strRef>
              <c:f>'&lt;서식8&gt;현금흐름분석'!$E$4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'&lt;서식8&gt;현금흐름분석'!$E$7:$E$36</c:f>
              <c:numCache>
                <c:formatCode>#,##0_ ;[Red]\-#,##0\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C7-4AEE-B77C-218B9E3FE57B}"/>
            </c:ext>
          </c:extLst>
        </c:ser>
        <c:ser>
          <c:idx val="8"/>
          <c:order val="8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C7-4AEE-B77C-218B9E3FE57B}"/>
            </c:ext>
          </c:extLst>
        </c:ser>
        <c:ser>
          <c:idx val="9"/>
          <c:order val="9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C7-4AEE-B77C-218B9E3FE57B}"/>
            </c:ext>
          </c:extLst>
        </c:ser>
        <c:ser>
          <c:idx val="10"/>
          <c:order val="10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C7-4AEE-B77C-218B9E3FE57B}"/>
            </c:ext>
          </c:extLst>
        </c:ser>
        <c:ser>
          <c:idx val="11"/>
          <c:order val="11"/>
          <c:tx>
            <c:strRef>
              <c:f>관악!#REF!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'&lt;서식6&gt;현금유입'!$C$7:$C$36</c:f>
              <c:strCache>
                <c:ptCount val="30"/>
                <c:pt idx="0">
                  <c:v> '19년 5月 - 12月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  <c:pt idx="7">
                  <c:v>2026년</c:v>
                </c:pt>
                <c:pt idx="8">
                  <c:v>2027년</c:v>
                </c:pt>
                <c:pt idx="9">
                  <c:v>2028년</c:v>
                </c:pt>
                <c:pt idx="10">
                  <c:v>2029년</c:v>
                </c:pt>
                <c:pt idx="11">
                  <c:v>2030년</c:v>
                </c:pt>
                <c:pt idx="12">
                  <c:v>2031년</c:v>
                </c:pt>
                <c:pt idx="13">
                  <c:v>2032년</c:v>
                </c:pt>
                <c:pt idx="14">
                  <c:v>2033년</c:v>
                </c:pt>
                <c:pt idx="15">
                  <c:v>2034년</c:v>
                </c:pt>
                <c:pt idx="16">
                  <c:v>2035년</c:v>
                </c:pt>
                <c:pt idx="17">
                  <c:v>2036년</c:v>
                </c:pt>
                <c:pt idx="18">
                  <c:v>2037년</c:v>
                </c:pt>
                <c:pt idx="19">
                  <c:v>2038년</c:v>
                </c:pt>
                <c:pt idx="20">
                  <c:v>2039년</c:v>
                </c:pt>
                <c:pt idx="21">
                  <c:v>2040년</c:v>
                </c:pt>
                <c:pt idx="22">
                  <c:v>2041년</c:v>
                </c:pt>
                <c:pt idx="23">
                  <c:v>2042년</c:v>
                </c:pt>
                <c:pt idx="24">
                  <c:v>2043년</c:v>
                </c:pt>
                <c:pt idx="25">
                  <c:v>2044년</c:v>
                </c:pt>
                <c:pt idx="26">
                  <c:v>2045년</c:v>
                </c:pt>
                <c:pt idx="27">
                  <c:v>2046년</c:v>
                </c:pt>
                <c:pt idx="28">
                  <c:v>2047년</c:v>
                </c:pt>
                <c:pt idx="29">
                  <c:v>2048년</c:v>
                </c:pt>
              </c:strCache>
            </c:strRef>
          </c:cat>
          <c:val>
            <c:numRef>
              <c:f>관악!#REF!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C7-4AEE-B77C-218B9E3F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04768"/>
        <c:axId val="207906304"/>
      </c:barChart>
      <c:catAx>
        <c:axId val="20790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906304"/>
        <c:crosses val="autoZero"/>
        <c:auto val="1"/>
        <c:lblAlgn val="ctr"/>
        <c:lblOffset val="100"/>
        <c:tickLblSkip val="18"/>
        <c:tickMarkSkip val="1"/>
        <c:noMultiLvlLbl val="0"/>
      </c:catAx>
      <c:valAx>
        <c:axId val="20790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207904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35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  <c:printSettings>
    <c:headerFooter alignWithMargins="0"/>
    <c:pageMargins b="1" l="0.75000000000000311" r="0.750000000000003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52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277850" y="48196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28</xdr:col>
      <xdr:colOff>0</xdr:colOff>
      <xdr:row>52</xdr:row>
      <xdr:rowOff>57150</xdr:rowOff>
    </xdr:from>
    <xdr:to>
      <xdr:col>28</xdr:col>
      <xdr:colOff>0</xdr:colOff>
      <xdr:row>55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2277725" y="120205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2277725" y="120205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2277725" y="120205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277725" y="120205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2277725" y="12020550"/>
          <a:ext cx="0" cy="0"/>
        </a:xfrm>
        <a:prstGeom prst="wedgeRectCallout">
          <a:avLst>
            <a:gd name="adj1" fmla="val 10731"/>
            <a:gd name="adj2" fmla="val -762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운용잔액산출 공식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첫달의 경우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임대보증금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둘째달 부터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월임대료수입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지출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2.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 선이자 기준으로 년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5.10%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로 계상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우리은행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1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년만기정기예금이율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운용잔액 * 예금이율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) *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일수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/ 365</a:t>
          </a:r>
        </a:p>
        <a:p>
          <a:pPr algn="l" rtl="0"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3.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잔액 산출</a:t>
          </a:r>
        </a:p>
        <a:p>
          <a:pPr algn="l" rtl="0"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   운용잔액 </a:t>
          </a:r>
          <a:r>
            <a:rPr lang="en-US" altLang="ko-KR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+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돋움"/>
              <a:ea typeface="돋움"/>
            </a:rPr>
            <a:t>예금이자</a:t>
          </a:r>
        </a:p>
      </xdr:txBody>
    </xdr:sp>
    <xdr:clientData/>
  </xdr:twoCellAnchor>
  <xdr:twoCellAnchor>
    <xdr:from>
      <xdr:col>29</xdr:col>
      <xdr:colOff>0</xdr:colOff>
      <xdr:row>113</xdr:row>
      <xdr:rowOff>0</xdr:rowOff>
    </xdr:from>
    <xdr:to>
      <xdr:col>29</xdr:col>
      <xdr:colOff>0</xdr:colOff>
      <xdr:row>113</xdr:row>
      <xdr:rowOff>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28575</xdr:rowOff>
    </xdr:from>
    <xdr:to>
      <xdr:col>16</xdr:col>
      <xdr:colOff>17479</xdr:colOff>
      <xdr:row>24</xdr:row>
      <xdr:rowOff>133350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80975"/>
          <a:ext cx="6084904" cy="376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121.seoul.go.kr/cs/cyber/front/cvplsvc/NR_inquireCostAptForm.do?_m=m2_3_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2"/>
  <sheetViews>
    <sheetView showGridLines="0" tabSelected="1" view="pageBreakPreview" zoomScale="40" zoomScaleSheetLayoutView="40" zoomScalePageLayoutView="80" workbookViewId="0">
      <selection activeCell="T16" sqref="T16"/>
    </sheetView>
  </sheetViews>
  <sheetFormatPr defaultRowHeight="20.399999999999999"/>
  <cols>
    <col min="1" max="3" width="8.69921875" style="31" customWidth="1"/>
    <col min="4" max="4" width="20.796875" style="31" customWidth="1"/>
    <col min="5" max="5" width="11.09765625" style="31" customWidth="1"/>
    <col min="6" max="6" width="13.296875" style="31" customWidth="1"/>
    <col min="7" max="7" width="10.296875" style="31" customWidth="1"/>
    <col min="8" max="8" width="10.796875" style="31" customWidth="1"/>
    <col min="9" max="9" width="10.69921875" style="31" customWidth="1"/>
    <col min="10" max="10" width="11" style="31" customWidth="1"/>
    <col min="11" max="11" width="9.09765625" style="31" customWidth="1"/>
    <col min="12" max="12" width="16.69921875" style="31" customWidth="1"/>
    <col min="13" max="14" width="14.296875" style="31" customWidth="1"/>
    <col min="15" max="15" width="15.296875" customWidth="1"/>
    <col min="16" max="16" width="22.3984375" customWidth="1"/>
  </cols>
  <sheetData>
    <row r="2" spans="1:18" ht="120.75" customHeight="1">
      <c r="A2" s="956" t="s">
        <v>393</v>
      </c>
      <c r="B2" s="957"/>
      <c r="C2" s="957"/>
      <c r="D2" s="957"/>
      <c r="E2" s="957"/>
      <c r="F2" s="957"/>
      <c r="G2" s="957"/>
      <c r="H2" s="957"/>
      <c r="I2" s="957"/>
      <c r="J2" s="957"/>
      <c r="K2" s="957"/>
      <c r="L2" s="957"/>
      <c r="M2" s="957"/>
      <c r="N2" s="957"/>
    </row>
    <row r="3" spans="1:18" ht="33" customHeight="1">
      <c r="A3" s="195" t="s">
        <v>144</v>
      </c>
      <c r="B3" s="30"/>
      <c r="C3" s="30"/>
      <c r="D3" s="30"/>
      <c r="E3" s="30"/>
      <c r="F3" s="30"/>
      <c r="I3" s="30"/>
      <c r="L3" s="32"/>
      <c r="M3" s="974"/>
      <c r="N3" s="974"/>
    </row>
    <row r="4" spans="1:18" ht="33" customHeight="1" thickBot="1">
      <c r="A4" s="40"/>
      <c r="B4" s="30"/>
      <c r="C4" s="30"/>
      <c r="D4" s="30"/>
      <c r="E4" s="30"/>
      <c r="F4" s="30"/>
      <c r="I4" s="30"/>
      <c r="J4" s="32"/>
      <c r="K4" s="41"/>
      <c r="M4" s="33"/>
      <c r="N4" s="196" t="s">
        <v>23</v>
      </c>
    </row>
    <row r="5" spans="1:18" ht="65.25" customHeight="1" thickBot="1">
      <c r="A5" s="990" t="s">
        <v>1</v>
      </c>
      <c r="B5" s="991"/>
      <c r="C5" s="991"/>
      <c r="D5" s="966" t="s">
        <v>2</v>
      </c>
      <c r="E5" s="966"/>
      <c r="F5" s="966"/>
      <c r="G5" s="966"/>
      <c r="H5" s="966"/>
      <c r="I5" s="966" t="s">
        <v>1</v>
      </c>
      <c r="J5" s="966"/>
      <c r="K5" s="966"/>
      <c r="L5" s="966"/>
      <c r="M5" s="966" t="s">
        <v>145</v>
      </c>
      <c r="N5" s="973"/>
    </row>
    <row r="6" spans="1:18" ht="65.25" customHeight="1">
      <c r="A6" s="994" t="s">
        <v>10</v>
      </c>
      <c r="B6" s="995"/>
      <c r="C6" s="995"/>
      <c r="D6" s="967"/>
      <c r="E6" s="967"/>
      <c r="F6" s="967"/>
      <c r="G6" s="967"/>
      <c r="H6" s="967"/>
      <c r="I6" s="1012" t="s">
        <v>323</v>
      </c>
      <c r="J6" s="1012"/>
      <c r="K6" s="1008" t="s">
        <v>324</v>
      </c>
      <c r="L6" s="1009"/>
      <c r="M6" s="975"/>
      <c r="N6" s="976"/>
      <c r="O6" s="872" t="s">
        <v>326</v>
      </c>
      <c r="P6" s="871" t="e">
        <f>M6/D11</f>
        <v>#DIV/0!</v>
      </c>
    </row>
    <row r="7" spans="1:18" ht="65.25" customHeight="1">
      <c r="A7" s="992" t="s">
        <v>11</v>
      </c>
      <c r="B7" s="993"/>
      <c r="C7" s="993"/>
      <c r="D7" s="968" t="s">
        <v>254</v>
      </c>
      <c r="E7" s="968"/>
      <c r="F7" s="968"/>
      <c r="G7" s="968"/>
      <c r="H7" s="968"/>
      <c r="I7" s="1013"/>
      <c r="J7" s="1013"/>
      <c r="K7" s="963" t="s">
        <v>325</v>
      </c>
      <c r="L7" s="965"/>
      <c r="M7" s="1010"/>
      <c r="N7" s="1011"/>
      <c r="P7" s="31"/>
    </row>
    <row r="8" spans="1:18" ht="65.25" customHeight="1">
      <c r="A8" s="992" t="s">
        <v>74</v>
      </c>
      <c r="B8" s="993"/>
      <c r="C8" s="993"/>
      <c r="D8" s="969" t="s">
        <v>255</v>
      </c>
      <c r="E8" s="969"/>
      <c r="F8" s="969"/>
      <c r="G8" s="969"/>
      <c r="H8" s="969"/>
      <c r="I8" s="1003" t="s">
        <v>327</v>
      </c>
      <c r="J8" s="1003"/>
      <c r="K8" s="960" t="s">
        <v>328</v>
      </c>
      <c r="L8" s="955"/>
      <c r="M8" s="975"/>
      <c r="N8" s="981"/>
      <c r="O8" s="872" t="s">
        <v>326</v>
      </c>
      <c r="P8" s="871" t="e">
        <f>M8/D11</f>
        <v>#DIV/0!</v>
      </c>
    </row>
    <row r="9" spans="1:18" ht="65.25" customHeight="1">
      <c r="A9" s="992" t="s">
        <v>75</v>
      </c>
      <c r="B9" s="993"/>
      <c r="C9" s="993"/>
      <c r="D9" s="970" t="s">
        <v>256</v>
      </c>
      <c r="E9" s="970"/>
      <c r="F9" s="970"/>
      <c r="G9" s="970"/>
      <c r="H9" s="970"/>
      <c r="I9" s="1003"/>
      <c r="J9" s="1003"/>
      <c r="K9" s="960" t="s">
        <v>329</v>
      </c>
      <c r="L9" s="962"/>
      <c r="M9" s="1010"/>
      <c r="N9" s="1011"/>
    </row>
    <row r="10" spans="1:18" ht="65.25" customHeight="1">
      <c r="A10" s="992" t="s">
        <v>76</v>
      </c>
      <c r="B10" s="993"/>
      <c r="C10" s="993"/>
      <c r="D10" s="970" t="s">
        <v>257</v>
      </c>
      <c r="E10" s="970"/>
      <c r="F10" s="970"/>
      <c r="G10" s="970"/>
      <c r="H10" s="970"/>
      <c r="I10" s="1003" t="s">
        <v>330</v>
      </c>
      <c r="J10" s="1003"/>
      <c r="K10" s="953" t="s">
        <v>146</v>
      </c>
      <c r="L10" s="955"/>
      <c r="M10" s="977"/>
      <c r="N10" s="978"/>
    </row>
    <row r="11" spans="1:18" ht="65.25" customHeight="1">
      <c r="A11" s="997" t="s">
        <v>13</v>
      </c>
      <c r="B11" s="998"/>
      <c r="C11" s="999"/>
      <c r="D11" s="420">
        <f>G11-G12</f>
        <v>0</v>
      </c>
      <c r="E11" s="971" t="s">
        <v>151</v>
      </c>
      <c r="F11" s="971"/>
      <c r="G11" s="1004"/>
      <c r="H11" s="1004"/>
      <c r="I11" s="1003"/>
      <c r="J11" s="1003"/>
      <c r="K11" s="960" t="s">
        <v>147</v>
      </c>
      <c r="L11" s="962"/>
      <c r="M11" s="977"/>
      <c r="N11" s="978"/>
    </row>
    <row r="12" spans="1:18" ht="65.25" customHeight="1">
      <c r="A12" s="1000"/>
      <c r="B12" s="1001"/>
      <c r="C12" s="1002"/>
      <c r="D12" s="421">
        <f>D11/3.30578</f>
        <v>0</v>
      </c>
      <c r="E12" s="971" t="s">
        <v>152</v>
      </c>
      <c r="F12" s="971"/>
      <c r="G12" s="1004"/>
      <c r="H12" s="1004"/>
      <c r="I12" s="1003"/>
      <c r="J12" s="1003"/>
      <c r="K12" s="953" t="s">
        <v>12</v>
      </c>
      <c r="L12" s="955"/>
      <c r="M12" s="979">
        <f>M10*D11</f>
        <v>0</v>
      </c>
      <c r="N12" s="980"/>
      <c r="O12" s="201"/>
    </row>
    <row r="13" spans="1:18" ht="65.25" customHeight="1">
      <c r="A13" s="992" t="s">
        <v>14</v>
      </c>
      <c r="B13" s="993"/>
      <c r="C13" s="993"/>
      <c r="D13" s="890"/>
      <c r="E13" s="971" t="s">
        <v>15</v>
      </c>
      <c r="F13" s="971"/>
      <c r="G13" s="1014" t="e">
        <f>D13/D11</f>
        <v>#DIV/0!</v>
      </c>
      <c r="H13" s="1014"/>
      <c r="I13" s="960" t="s">
        <v>331</v>
      </c>
      <c r="J13" s="961"/>
      <c r="K13" s="961"/>
      <c r="L13" s="962"/>
      <c r="M13" s="982">
        <f>M6-M8</f>
        <v>0</v>
      </c>
      <c r="N13" s="983"/>
    </row>
    <row r="14" spans="1:18" ht="65.25" customHeight="1">
      <c r="A14" s="996" t="s">
        <v>16</v>
      </c>
      <c r="B14" s="993" t="s">
        <v>17</v>
      </c>
      <c r="C14" s="993"/>
      <c r="D14" s="420">
        <f>'&lt;서식2&gt;면적표'!K34-'&lt;서식2&gt;면적표'!K28</f>
        <v>0</v>
      </c>
      <c r="E14" s="1020" t="s">
        <v>153</v>
      </c>
      <c r="F14" s="1020"/>
      <c r="G14" s="1015">
        <f>'&lt;서식2&gt;면적표'!N36</f>
        <v>0</v>
      </c>
      <c r="H14" s="1015"/>
      <c r="I14" s="963" t="s">
        <v>69</v>
      </c>
      <c r="J14" s="964"/>
      <c r="K14" s="964"/>
      <c r="L14" s="965"/>
      <c r="M14" s="984">
        <f>'&lt;서식3&gt;초기사업비 산정'!G8+'&lt;서식3&gt;초기사업비 산정'!G9+'&lt;서식3&gt;초기사업비 산정'!G7</f>
        <v>0</v>
      </c>
      <c r="N14" s="985"/>
      <c r="R14" s="201"/>
    </row>
    <row r="15" spans="1:18" ht="65.25" customHeight="1">
      <c r="A15" s="996"/>
      <c r="B15" s="993" t="s">
        <v>19</v>
      </c>
      <c r="C15" s="993"/>
      <c r="D15" s="420">
        <f>'&lt;서식2&gt;면적표'!K28</f>
        <v>0</v>
      </c>
      <c r="E15" s="1020"/>
      <c r="F15" s="1020"/>
      <c r="G15" s="1016">
        <f>ROUND((G14/3.30578),0)</f>
        <v>0</v>
      </c>
      <c r="H15" s="1016"/>
      <c r="I15" s="953" t="s">
        <v>150</v>
      </c>
      <c r="J15" s="954"/>
      <c r="K15" s="954"/>
      <c r="L15" s="955"/>
      <c r="M15" s="958">
        <f>'&lt;서식3&gt;초기사업비 산정'!G28</f>
        <v>0</v>
      </c>
      <c r="N15" s="959"/>
    </row>
    <row r="16" spans="1:18" ht="65.25" customHeight="1">
      <c r="A16" s="996"/>
      <c r="B16" s="993" t="s">
        <v>12</v>
      </c>
      <c r="C16" s="993"/>
      <c r="D16" s="422">
        <f>SUM(D14:D15)</f>
        <v>0</v>
      </c>
      <c r="E16" s="1020"/>
      <c r="F16" s="1020"/>
      <c r="G16" s="1016"/>
      <c r="H16" s="1016"/>
      <c r="I16" s="953" t="s">
        <v>70</v>
      </c>
      <c r="J16" s="954"/>
      <c r="K16" s="954"/>
      <c r="L16" s="955"/>
      <c r="M16" s="984" t="e">
        <f>'&lt;서식3&gt;초기사업비 산정'!G31+'&lt;서식3&gt;초기사업비 산정'!G41+'&lt;서식3&gt;초기사업비 산정'!G52</f>
        <v>#DIV/0!</v>
      </c>
      <c r="N16" s="985"/>
    </row>
    <row r="17" spans="1:14" ht="65.25" customHeight="1">
      <c r="A17" s="992" t="s">
        <v>21</v>
      </c>
      <c r="B17" s="993"/>
      <c r="C17" s="993"/>
      <c r="D17" s="423" t="e">
        <f>D14/D11</f>
        <v>#DIV/0!</v>
      </c>
      <c r="E17" s="1005" t="s">
        <v>154</v>
      </c>
      <c r="F17" s="1005"/>
      <c r="G17" s="1017"/>
      <c r="H17" s="1017"/>
      <c r="I17" s="953" t="s">
        <v>148</v>
      </c>
      <c r="J17" s="954"/>
      <c r="K17" s="954"/>
      <c r="L17" s="955"/>
      <c r="M17" s="984" t="e">
        <f>M13+M14+M15+M16</f>
        <v>#DIV/0!</v>
      </c>
      <c r="N17" s="985"/>
    </row>
    <row r="18" spans="1:14" ht="65.25" customHeight="1">
      <c r="A18" s="992" t="s">
        <v>321</v>
      </c>
      <c r="B18" s="993"/>
      <c r="C18" s="993"/>
      <c r="D18" s="891"/>
      <c r="E18" s="1005" t="s">
        <v>322</v>
      </c>
      <c r="F18" s="1005"/>
      <c r="G18" s="1006"/>
      <c r="H18" s="1007"/>
      <c r="I18" s="953" t="s">
        <v>22</v>
      </c>
      <c r="J18" s="954"/>
      <c r="K18" s="954"/>
      <c r="L18" s="955"/>
      <c r="M18" s="1018">
        <f>'&lt;서식5&gt;재원조달계획'!J17</f>
        <v>0.9</v>
      </c>
      <c r="N18" s="1019"/>
    </row>
    <row r="19" spans="1:14" ht="65.25" customHeight="1" thickBot="1">
      <c r="A19" s="988" t="s">
        <v>233</v>
      </c>
      <c r="B19" s="989"/>
      <c r="C19" s="989"/>
      <c r="D19" s="972"/>
      <c r="E19" s="972"/>
      <c r="F19" s="972"/>
      <c r="G19" s="972"/>
      <c r="H19" s="972"/>
      <c r="I19" s="950" t="s">
        <v>149</v>
      </c>
      <c r="J19" s="951"/>
      <c r="K19" s="951"/>
      <c r="L19" s="952"/>
      <c r="M19" s="986">
        <f>'&lt;서식5&gt;재원조달계획'!I17</f>
        <v>1197000000</v>
      </c>
      <c r="N19" s="987"/>
    </row>
    <row r="20" spans="1:14" ht="33" customHeight="1">
      <c r="A20" s="42"/>
      <c r="B20" s="42"/>
      <c r="C20" s="42"/>
      <c r="D20" s="34"/>
      <c r="E20" s="34"/>
      <c r="F20" s="34"/>
      <c r="G20" s="34"/>
      <c r="H20" s="197"/>
      <c r="I20" s="43"/>
      <c r="J20" s="43"/>
      <c r="K20" s="43"/>
      <c r="L20" s="43"/>
      <c r="M20" s="35"/>
      <c r="N20" s="35"/>
    </row>
    <row r="21" spans="1:14" ht="28.5" customHeight="1">
      <c r="A21" s="42"/>
      <c r="B21" s="42"/>
      <c r="C21" s="42"/>
      <c r="D21" s="34"/>
      <c r="E21" s="34"/>
      <c r="F21" s="34"/>
      <c r="G21" s="34"/>
      <c r="H21" s="34"/>
      <c r="I21" s="43"/>
      <c r="J21" s="43"/>
      <c r="K21" s="43"/>
      <c r="L21" s="43"/>
      <c r="M21" s="35"/>
      <c r="N21" s="35"/>
    </row>
    <row r="22" spans="1:14" ht="28.5" customHeight="1"/>
    <row r="23" spans="1:14" ht="28.5" customHeight="1"/>
    <row r="24" spans="1:14" ht="28.5" customHeight="1"/>
    <row r="25" spans="1:14" ht="28.5" customHeight="1"/>
    <row r="26" spans="1:14" ht="28.5" customHeight="1"/>
    <row r="27" spans="1:14" ht="28.5" customHeight="1">
      <c r="H27" s="197"/>
    </row>
    <row r="28" spans="1:14" ht="28.5" customHeight="1"/>
    <row r="29" spans="1:14" ht="28.5" customHeight="1"/>
    <row r="30" spans="1:14" ht="32.1" customHeight="1"/>
    <row r="31" spans="1:14" ht="32.1" customHeight="1"/>
    <row r="32" spans="1:14" ht="32.1" customHeight="1"/>
    <row r="33" ht="32.1" customHeight="1"/>
    <row r="34" ht="32.1" customHeight="1"/>
    <row r="35" ht="32.1" customHeight="1"/>
    <row r="36" ht="32.1" customHeight="1"/>
    <row r="37" ht="32.1" customHeight="1"/>
    <row r="38" ht="32.1" customHeight="1"/>
    <row r="39" ht="32.1" customHeight="1"/>
    <row r="40" ht="24" customHeight="1"/>
    <row r="41" ht="24" customHeight="1"/>
    <row r="42" ht="24" customHeight="1"/>
    <row r="43" ht="33.6" customHeight="1"/>
    <row r="44" ht="33.6" customHeight="1"/>
    <row r="45" ht="38.700000000000003" customHeight="1"/>
    <row r="46" ht="38.700000000000003" customHeight="1"/>
    <row r="47" ht="38.700000000000003" customHeight="1"/>
    <row r="48" ht="38.700000000000003" customHeight="1"/>
    <row r="49" spans="1:14" ht="38.700000000000003" customHeight="1"/>
    <row r="50" spans="1:14" ht="38.700000000000003" customHeight="1"/>
    <row r="51" spans="1:14" ht="38.700000000000003" customHeight="1"/>
    <row r="52" spans="1:14" ht="38.700000000000003" customHeight="1"/>
    <row r="53" spans="1:14" ht="38.700000000000003" customHeight="1"/>
    <row r="54" spans="1:14" ht="30" customHeight="1">
      <c r="A54" s="30"/>
      <c r="B54" s="30"/>
      <c r="C54" s="30"/>
      <c r="D54" s="30"/>
      <c r="E54" s="30"/>
      <c r="F54" s="30"/>
      <c r="G54" s="30"/>
      <c r="H54" s="30"/>
      <c r="I54" s="36"/>
      <c r="J54" s="36"/>
      <c r="K54" s="36"/>
      <c r="L54" s="36"/>
      <c r="M54" s="36"/>
      <c r="N54" s="36"/>
    </row>
    <row r="55" spans="1:14" ht="18" customHeight="1">
      <c r="A55" s="30"/>
      <c r="B55" s="30"/>
      <c r="C55" s="30"/>
      <c r="D55" s="30"/>
      <c r="E55" s="30"/>
      <c r="F55" s="30"/>
      <c r="G55" s="30"/>
      <c r="H55" s="30"/>
      <c r="I55" s="36"/>
      <c r="J55" s="36"/>
      <c r="K55" s="36"/>
      <c r="L55" s="36"/>
      <c r="M55" s="36"/>
      <c r="N55" s="36"/>
    </row>
    <row r="56" spans="1:14" ht="15.6" customHeight="1">
      <c r="A56" s="30"/>
      <c r="B56" s="30"/>
      <c r="C56" s="30"/>
      <c r="D56" s="30"/>
      <c r="E56" s="30"/>
      <c r="F56" s="30"/>
      <c r="G56" s="30"/>
      <c r="H56" s="30"/>
      <c r="I56" s="36"/>
      <c r="J56" s="36"/>
      <c r="K56" s="36"/>
      <c r="L56" s="36"/>
      <c r="M56" s="36"/>
      <c r="N56" s="36"/>
    </row>
    <row r="57" spans="1:14" ht="18" customHeight="1">
      <c r="A57" s="30"/>
      <c r="B57" s="30"/>
      <c r="C57" s="30"/>
      <c r="D57" s="30"/>
      <c r="E57" s="30"/>
      <c r="F57" s="30"/>
      <c r="G57" s="30"/>
      <c r="H57" s="30"/>
      <c r="I57" s="36"/>
      <c r="J57" s="36"/>
      <c r="K57" s="36"/>
      <c r="L57" s="36"/>
      <c r="M57" s="36"/>
      <c r="N57" s="36"/>
    </row>
    <row r="58" spans="1:14" ht="18" customHeight="1">
      <c r="A58" s="30"/>
      <c r="B58" s="30"/>
      <c r="C58" s="30"/>
      <c r="D58" s="30"/>
      <c r="E58" s="30"/>
      <c r="F58" s="30"/>
      <c r="G58" s="30"/>
      <c r="H58" s="30"/>
      <c r="I58" s="36"/>
      <c r="J58" s="36"/>
      <c r="K58" s="36"/>
      <c r="L58" s="36"/>
      <c r="M58" s="36"/>
      <c r="N58" s="36"/>
    </row>
    <row r="59" spans="1:14" ht="18" customHeight="1">
      <c r="A59" s="30"/>
      <c r="B59" s="30"/>
      <c r="C59" s="30"/>
      <c r="D59" s="30"/>
      <c r="E59" s="30"/>
      <c r="F59" s="30"/>
      <c r="G59" s="30"/>
      <c r="H59" s="30"/>
      <c r="I59" s="36"/>
      <c r="J59" s="36"/>
      <c r="K59" s="36"/>
      <c r="L59" s="36"/>
      <c r="M59" s="36"/>
      <c r="N59" s="36"/>
    </row>
    <row r="60" spans="1:14" ht="18" customHeight="1">
      <c r="A60" s="30"/>
      <c r="B60" s="30"/>
      <c r="C60" s="30"/>
      <c r="D60" s="30"/>
      <c r="E60" s="30"/>
      <c r="F60" s="30"/>
      <c r="G60" s="30"/>
      <c r="H60" s="30"/>
      <c r="I60" s="36"/>
      <c r="J60" s="36"/>
      <c r="K60" s="36"/>
      <c r="L60" s="36"/>
      <c r="M60" s="36"/>
      <c r="N60" s="36"/>
    </row>
    <row r="61" spans="1:14" ht="18" customHeight="1">
      <c r="A61" s="30"/>
      <c r="B61" s="30"/>
      <c r="C61" s="30"/>
      <c r="D61" s="30"/>
      <c r="E61" s="30"/>
      <c r="F61" s="30"/>
      <c r="G61" s="30"/>
      <c r="H61" s="30"/>
      <c r="I61" s="36"/>
      <c r="J61" s="36"/>
      <c r="K61" s="36"/>
      <c r="L61" s="36"/>
      <c r="M61" s="36"/>
      <c r="N61" s="36"/>
    </row>
    <row r="62" spans="1:14" ht="18" customHeight="1">
      <c r="A62" s="30"/>
      <c r="B62" s="30"/>
      <c r="C62" s="30"/>
      <c r="D62" s="30"/>
      <c r="E62" s="30"/>
      <c r="F62" s="30"/>
      <c r="G62" s="30"/>
      <c r="H62" s="30"/>
      <c r="I62" s="36"/>
      <c r="J62" s="36"/>
      <c r="K62" s="36"/>
      <c r="L62" s="36"/>
      <c r="M62" s="36"/>
      <c r="N62" s="36"/>
    </row>
    <row r="63" spans="1:14" ht="18" customHeight="1">
      <c r="A63" s="30"/>
      <c r="B63" s="30"/>
      <c r="C63" s="30"/>
      <c r="D63" s="30"/>
      <c r="E63" s="30"/>
      <c r="F63" s="30"/>
      <c r="G63" s="30"/>
      <c r="H63" s="30"/>
      <c r="I63" s="36"/>
      <c r="J63" s="36"/>
      <c r="K63" s="36"/>
      <c r="L63" s="36"/>
      <c r="M63" s="36"/>
      <c r="N63" s="36"/>
    </row>
    <row r="64" spans="1:14" ht="18" customHeight="1">
      <c r="A64" s="30"/>
      <c r="B64" s="30"/>
      <c r="C64" s="30"/>
      <c r="D64" s="30"/>
      <c r="E64" s="30"/>
      <c r="F64" s="30"/>
      <c r="G64" s="30"/>
      <c r="H64" s="30"/>
      <c r="I64" s="36"/>
      <c r="J64" s="36"/>
      <c r="K64" s="36"/>
      <c r="L64" s="36"/>
      <c r="M64" s="36"/>
      <c r="N64" s="36"/>
    </row>
    <row r="65" spans="1:14" ht="18" customHeight="1">
      <c r="A65" s="30"/>
      <c r="B65" s="30"/>
      <c r="C65" s="30"/>
      <c r="D65" s="30"/>
      <c r="E65" s="30"/>
      <c r="F65" s="30"/>
      <c r="G65" s="30"/>
      <c r="H65" s="30"/>
      <c r="I65" s="36"/>
      <c r="J65" s="36"/>
      <c r="K65" s="36"/>
      <c r="L65" s="36"/>
      <c r="M65" s="36"/>
      <c r="N65" s="36"/>
    </row>
    <row r="66" spans="1:14" ht="18" customHeight="1">
      <c r="A66" s="30"/>
      <c r="B66" s="30"/>
      <c r="C66" s="30"/>
      <c r="D66" s="30"/>
      <c r="E66" s="30"/>
      <c r="F66" s="30"/>
      <c r="G66" s="30"/>
      <c r="H66" s="30"/>
      <c r="I66" s="36"/>
      <c r="J66" s="36"/>
      <c r="K66" s="36"/>
      <c r="L66" s="36"/>
      <c r="M66" s="36"/>
      <c r="N66" s="36"/>
    </row>
    <row r="67" spans="1:14" ht="18" customHeight="1">
      <c r="A67" s="30"/>
      <c r="B67" s="30"/>
      <c r="C67" s="30"/>
      <c r="D67" s="30"/>
      <c r="E67" s="30"/>
      <c r="F67" s="30"/>
      <c r="G67" s="30"/>
      <c r="H67" s="30"/>
      <c r="I67" s="36"/>
      <c r="J67" s="36"/>
      <c r="K67" s="36"/>
      <c r="L67" s="36"/>
      <c r="M67" s="36"/>
      <c r="N67" s="36"/>
    </row>
    <row r="68" spans="1:14" ht="18" customHeight="1">
      <c r="A68" s="30"/>
      <c r="B68" s="30"/>
      <c r="C68" s="30"/>
      <c r="D68" s="30"/>
      <c r="E68" s="30"/>
      <c r="F68" s="30"/>
      <c r="G68" s="30"/>
      <c r="H68" s="30"/>
      <c r="I68" s="36"/>
      <c r="J68" s="36"/>
      <c r="K68" s="36"/>
      <c r="L68" s="36"/>
      <c r="M68" s="36"/>
      <c r="N68" s="36"/>
    </row>
    <row r="69" spans="1:14" ht="18" customHeight="1">
      <c r="A69" s="30"/>
      <c r="B69" s="30"/>
      <c r="C69" s="30"/>
      <c r="D69" s="30"/>
      <c r="E69" s="30"/>
      <c r="F69" s="30"/>
      <c r="G69" s="30"/>
      <c r="H69" s="30"/>
      <c r="I69" s="36"/>
      <c r="J69" s="36"/>
      <c r="K69" s="36"/>
      <c r="L69" s="36"/>
      <c r="M69" s="36"/>
      <c r="N69" s="36"/>
    </row>
    <row r="70" spans="1:14" ht="18" customHeight="1">
      <c r="A70" s="30"/>
      <c r="B70" s="30"/>
      <c r="C70" s="30"/>
      <c r="D70" s="30"/>
      <c r="E70" s="30"/>
      <c r="F70" s="30"/>
      <c r="G70" s="30"/>
      <c r="H70" s="30"/>
      <c r="I70" s="36"/>
      <c r="J70" s="36"/>
      <c r="K70" s="36"/>
      <c r="L70" s="36"/>
      <c r="M70" s="36"/>
      <c r="N70" s="36"/>
    </row>
    <row r="71" spans="1:14" ht="18" customHeight="1">
      <c r="A71" s="30"/>
      <c r="B71" s="30"/>
      <c r="C71" s="30"/>
      <c r="D71" s="30"/>
      <c r="E71" s="30"/>
      <c r="F71" s="30"/>
      <c r="G71" s="30"/>
      <c r="H71" s="30"/>
      <c r="I71" s="36"/>
      <c r="J71" s="36"/>
      <c r="K71" s="36"/>
      <c r="L71" s="36"/>
      <c r="M71" s="36"/>
      <c r="N71" s="36"/>
    </row>
    <row r="72" spans="1:14" ht="18" customHeight="1">
      <c r="A72" s="30"/>
      <c r="B72" s="30"/>
      <c r="C72" s="30"/>
      <c r="D72" s="30"/>
      <c r="E72" s="30"/>
      <c r="F72" s="30"/>
      <c r="G72" s="30"/>
      <c r="H72" s="30"/>
      <c r="I72" s="36"/>
      <c r="J72" s="36"/>
      <c r="K72" s="36"/>
      <c r="L72" s="36"/>
      <c r="M72" s="36"/>
      <c r="N72" s="36"/>
    </row>
  </sheetData>
  <mergeCells count="70">
    <mergeCell ref="M18:N18"/>
    <mergeCell ref="E13:F13"/>
    <mergeCell ref="E14:F16"/>
    <mergeCell ref="M7:N7"/>
    <mergeCell ref="M9:N9"/>
    <mergeCell ref="I6:J7"/>
    <mergeCell ref="I10:J12"/>
    <mergeCell ref="E17:F17"/>
    <mergeCell ref="G13:H13"/>
    <mergeCell ref="G14:H14"/>
    <mergeCell ref="G15:H16"/>
    <mergeCell ref="G17:H17"/>
    <mergeCell ref="G11:H11"/>
    <mergeCell ref="G12:H12"/>
    <mergeCell ref="E18:F18"/>
    <mergeCell ref="G18:H18"/>
    <mergeCell ref="K6:L6"/>
    <mergeCell ref="K7:L7"/>
    <mergeCell ref="K11:L11"/>
    <mergeCell ref="K10:L10"/>
    <mergeCell ref="K9:L9"/>
    <mergeCell ref="K8:L8"/>
    <mergeCell ref="I8:J9"/>
    <mergeCell ref="A19:C19"/>
    <mergeCell ref="A5:C5"/>
    <mergeCell ref="A8:C8"/>
    <mergeCell ref="A9:C9"/>
    <mergeCell ref="A10:C10"/>
    <mergeCell ref="A6:C6"/>
    <mergeCell ref="A7:C7"/>
    <mergeCell ref="A13:C13"/>
    <mergeCell ref="A14:A16"/>
    <mergeCell ref="B14:C14"/>
    <mergeCell ref="B15:C15"/>
    <mergeCell ref="B16:C16"/>
    <mergeCell ref="A17:C17"/>
    <mergeCell ref="A18:C18"/>
    <mergeCell ref="A11:C12"/>
    <mergeCell ref="D19:H19"/>
    <mergeCell ref="I5:L5"/>
    <mergeCell ref="M5:N5"/>
    <mergeCell ref="M3:N3"/>
    <mergeCell ref="M6:N6"/>
    <mergeCell ref="M10:N10"/>
    <mergeCell ref="M11:N11"/>
    <mergeCell ref="M12:N12"/>
    <mergeCell ref="M8:N8"/>
    <mergeCell ref="M13:N13"/>
    <mergeCell ref="M14:N14"/>
    <mergeCell ref="I16:L16"/>
    <mergeCell ref="I17:L17"/>
    <mergeCell ref="M17:N17"/>
    <mergeCell ref="M16:N16"/>
    <mergeCell ref="M19:N19"/>
    <mergeCell ref="I19:L19"/>
    <mergeCell ref="I18:L18"/>
    <mergeCell ref="A2:N2"/>
    <mergeCell ref="K12:L12"/>
    <mergeCell ref="I15:L15"/>
    <mergeCell ref="M15:N15"/>
    <mergeCell ref="I13:L13"/>
    <mergeCell ref="I14:L14"/>
    <mergeCell ref="D5:H5"/>
    <mergeCell ref="D6:H6"/>
    <mergeCell ref="D7:H7"/>
    <mergeCell ref="D8:H8"/>
    <mergeCell ref="D9:H9"/>
    <mergeCell ref="D10:H10"/>
    <mergeCell ref="E11:F11"/>
    <mergeCell ref="E12:F12"/>
  </mergeCells>
  <phoneticPr fontId="5" type="noConversion"/>
  <printOptions horizontalCentered="1"/>
  <pageMargins left="0.25" right="0.25" top="0.75" bottom="0.75" header="0.3" footer="0.3"/>
  <pageSetup paperSize="9" scale="5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view="pageBreakPreview" topLeftCell="A19" zoomScale="55" zoomScaleNormal="85" zoomScaleSheetLayoutView="55" workbookViewId="0">
      <selection activeCell="I38" sqref="I38"/>
    </sheetView>
  </sheetViews>
  <sheetFormatPr defaultRowHeight="14.4"/>
  <cols>
    <col min="1" max="1" width="2.69921875" style="45" customWidth="1"/>
    <col min="2" max="5" width="9.69921875" customWidth="1"/>
    <col min="6" max="15" width="12.19921875" customWidth="1"/>
    <col min="16" max="16" width="2.796875" style="45" customWidth="1"/>
    <col min="18" max="18" width="9.796875" bestFit="1" customWidth="1"/>
  </cols>
  <sheetData>
    <row r="1" spans="1:18" ht="15" thickBot="1"/>
    <row r="2" spans="1:18" ht="42" customHeight="1" thickBot="1">
      <c r="A2" s="1047" t="s">
        <v>139</v>
      </c>
      <c r="B2" s="1048"/>
      <c r="C2" s="1048"/>
      <c r="D2" s="1048"/>
      <c r="E2" s="1048"/>
      <c r="F2" s="1048"/>
      <c r="G2" s="1048"/>
      <c r="H2" s="1048"/>
      <c r="I2" s="1048"/>
      <c r="J2" s="1048"/>
      <c r="K2" s="1048"/>
      <c r="L2" s="1048"/>
      <c r="M2" s="1048"/>
      <c r="N2" s="1048"/>
      <c r="O2" s="1048"/>
      <c r="P2" s="1049"/>
    </row>
    <row r="3" spans="1:18" ht="20.25" customHeight="1" thickBot="1">
      <c r="A3" s="88"/>
      <c r="B3" s="89"/>
      <c r="C3" s="90"/>
      <c r="D3" s="90"/>
      <c r="E3" s="90"/>
      <c r="F3" s="90"/>
      <c r="G3" s="90"/>
      <c r="H3" s="90"/>
      <c r="I3" s="90"/>
      <c r="J3" s="91"/>
      <c r="K3" s="64"/>
      <c r="L3" s="64"/>
      <c r="M3" s="64"/>
      <c r="N3" s="64"/>
      <c r="O3" s="190" t="s">
        <v>138</v>
      </c>
      <c r="P3" s="92"/>
    </row>
    <row r="4" spans="1:18" ht="45" customHeight="1">
      <c r="A4" s="88"/>
      <c r="B4" s="1060" t="s">
        <v>25</v>
      </c>
      <c r="C4" s="1053" t="s">
        <v>26</v>
      </c>
      <c r="D4" s="1053" t="s">
        <v>68</v>
      </c>
      <c r="E4" s="1050" t="s">
        <v>207</v>
      </c>
      <c r="F4" s="1053" t="s">
        <v>27</v>
      </c>
      <c r="G4" s="1053"/>
      <c r="H4" s="1053" t="s">
        <v>143</v>
      </c>
      <c r="I4" s="1053"/>
      <c r="J4" s="1050" t="s">
        <v>133</v>
      </c>
      <c r="K4" s="1050"/>
      <c r="L4" s="1053" t="s">
        <v>134</v>
      </c>
      <c r="M4" s="1053"/>
      <c r="N4" s="1050" t="s">
        <v>135</v>
      </c>
      <c r="O4" s="1051"/>
      <c r="P4" s="93"/>
    </row>
    <row r="5" spans="1:18" ht="34.5" customHeight="1">
      <c r="A5" s="88"/>
      <c r="B5" s="1061"/>
      <c r="C5" s="1052"/>
      <c r="D5" s="1052"/>
      <c r="E5" s="1052"/>
      <c r="F5" s="321" t="s">
        <v>136</v>
      </c>
      <c r="G5" s="321" t="s">
        <v>137</v>
      </c>
      <c r="H5" s="321" t="s">
        <v>136</v>
      </c>
      <c r="I5" s="321" t="s">
        <v>137</v>
      </c>
      <c r="J5" s="321" t="s">
        <v>136</v>
      </c>
      <c r="K5" s="321" t="s">
        <v>137</v>
      </c>
      <c r="L5" s="321" t="s">
        <v>136</v>
      </c>
      <c r="M5" s="321" t="s">
        <v>137</v>
      </c>
      <c r="N5" s="321" t="s">
        <v>136</v>
      </c>
      <c r="O5" s="322" t="s">
        <v>137</v>
      </c>
      <c r="P5" s="94"/>
    </row>
    <row r="6" spans="1:18" ht="37.5" customHeight="1">
      <c r="A6" s="88"/>
      <c r="B6" s="1054" t="s">
        <v>29</v>
      </c>
      <c r="C6" s="310" t="s">
        <v>203</v>
      </c>
      <c r="D6" s="895"/>
      <c r="E6" s="311" t="s">
        <v>202</v>
      </c>
      <c r="F6" s="356">
        <f>ROUNDDOWN((G6/3.30578),1)</f>
        <v>0</v>
      </c>
      <c r="G6" s="893"/>
      <c r="H6" s="356" t="e">
        <f>ROUNDDOWN((I6/3.30578),1)</f>
        <v>#DIV/0!</v>
      </c>
      <c r="I6" s="358" t="e">
        <f>$I$34*(G6/G$20)</f>
        <v>#DIV/0!</v>
      </c>
      <c r="J6" s="356" t="e">
        <f>ROUNDDOWN((K6/3.30578),1)</f>
        <v>#DIV/0!</v>
      </c>
      <c r="K6" s="358" t="e">
        <f>G6+I6</f>
        <v>#DIV/0!</v>
      </c>
      <c r="L6" s="356">
        <f>ROUNDDOWN((M6/3.30578),1)</f>
        <v>0</v>
      </c>
      <c r="M6" s="358">
        <v>0</v>
      </c>
      <c r="N6" s="356" t="e">
        <f>ROUNDDOWN((O6/3.30578),1)</f>
        <v>#DIV/0!</v>
      </c>
      <c r="O6" s="334" t="e">
        <f t="shared" ref="O6:O18" si="0">M6+K6</f>
        <v>#DIV/0!</v>
      </c>
      <c r="P6" s="95"/>
    </row>
    <row r="7" spans="1:18" ht="37.5" customHeight="1">
      <c r="A7" s="88"/>
      <c r="B7" s="1055"/>
      <c r="C7" s="312" t="s">
        <v>30</v>
      </c>
      <c r="D7" s="896"/>
      <c r="E7" s="313">
        <v>101</v>
      </c>
      <c r="F7" s="325">
        <f t="shared" ref="F7:N20" si="1">ROUNDDOWN((G7/3.30578),1)</f>
        <v>0</v>
      </c>
      <c r="G7" s="894"/>
      <c r="H7" s="325" t="e">
        <f t="shared" si="1"/>
        <v>#DIV/0!</v>
      </c>
      <c r="I7" s="359" t="e">
        <f t="shared" ref="I7:I8" si="2">$I$34*(G7/G$20)</f>
        <v>#DIV/0!</v>
      </c>
      <c r="J7" s="325" t="e">
        <f t="shared" ref="J7" si="3">ROUNDDOWN((K7/3.30578),1)</f>
        <v>#DIV/0!</v>
      </c>
      <c r="K7" s="359" t="e">
        <f t="shared" ref="K7:K18" si="4">G7+I7</f>
        <v>#DIV/0!</v>
      </c>
      <c r="L7" s="325">
        <f t="shared" ref="L7" si="5">ROUNDDOWN((M7/3.30578),1)</f>
        <v>0</v>
      </c>
      <c r="M7" s="359"/>
      <c r="N7" s="325" t="e">
        <f t="shared" ref="N7" si="6">ROUNDDOWN((O7/3.30578),1)</f>
        <v>#DIV/0!</v>
      </c>
      <c r="O7" s="335" t="e">
        <f t="shared" si="0"/>
        <v>#DIV/0!</v>
      </c>
      <c r="P7" s="95"/>
    </row>
    <row r="8" spans="1:18" ht="37.5" customHeight="1">
      <c r="A8" s="88"/>
      <c r="B8" s="1055"/>
      <c r="C8" s="316" t="s">
        <v>32</v>
      </c>
      <c r="D8" s="897"/>
      <c r="E8" s="317">
        <v>201</v>
      </c>
      <c r="F8" s="328">
        <f t="shared" si="1"/>
        <v>0</v>
      </c>
      <c r="G8" s="892"/>
      <c r="H8" s="328" t="e">
        <f t="shared" si="1"/>
        <v>#DIV/0!</v>
      </c>
      <c r="I8" s="360" t="e">
        <f t="shared" si="2"/>
        <v>#DIV/0!</v>
      </c>
      <c r="J8" s="328" t="e">
        <f t="shared" ref="J8" si="7">ROUNDDOWN((K8/3.30578),1)</f>
        <v>#DIV/0!</v>
      </c>
      <c r="K8" s="360" t="e">
        <f t="shared" si="4"/>
        <v>#DIV/0!</v>
      </c>
      <c r="L8" s="328">
        <f t="shared" ref="L8" si="8">ROUNDDOWN((M8/3.30578),1)</f>
        <v>0</v>
      </c>
      <c r="M8" s="360"/>
      <c r="N8" s="328" t="e">
        <f t="shared" ref="N8" si="9">ROUNDDOWN((O8/3.30578),1)</f>
        <v>#DIV/0!</v>
      </c>
      <c r="O8" s="336" t="e">
        <f t="shared" si="0"/>
        <v>#DIV/0!</v>
      </c>
      <c r="P8" s="96"/>
    </row>
    <row r="9" spans="1:18" s="45" customFormat="1" ht="37.5" customHeight="1">
      <c r="A9" s="88"/>
      <c r="B9" s="1056"/>
      <c r="C9" s="363" t="s">
        <v>204</v>
      </c>
      <c r="D9" s="364">
        <f>SUM(D6:D8)</f>
        <v>0</v>
      </c>
      <c r="E9" s="364" t="s">
        <v>218</v>
      </c>
      <c r="F9" s="365">
        <f t="shared" si="1"/>
        <v>0</v>
      </c>
      <c r="G9" s="357">
        <f>SUM(G6:G8)</f>
        <v>0</v>
      </c>
      <c r="H9" s="365" t="e">
        <f t="shared" si="1"/>
        <v>#DIV/0!</v>
      </c>
      <c r="I9" s="357" t="e">
        <f>SUM(I6:I8)</f>
        <v>#DIV/0!</v>
      </c>
      <c r="J9" s="365" t="e">
        <f t="shared" ref="J9" si="10">ROUNDDOWN((K9/3.30578),1)</f>
        <v>#DIV/0!</v>
      </c>
      <c r="K9" s="357" t="e">
        <f>SUM(K6:K8)</f>
        <v>#DIV/0!</v>
      </c>
      <c r="L9" s="365">
        <f t="shared" ref="L9" si="11">ROUNDDOWN((M9/3.30578),1)</f>
        <v>0</v>
      </c>
      <c r="M9" s="357">
        <f>SUM(M6:M8)</f>
        <v>0</v>
      </c>
      <c r="N9" s="365" t="e">
        <f t="shared" ref="N9" si="12">ROUNDDOWN((O9/3.30578),1)</f>
        <v>#DIV/0!</v>
      </c>
      <c r="O9" s="337" t="e">
        <f>SUM(O6:O8)</f>
        <v>#DIV/0!</v>
      </c>
      <c r="P9" s="96"/>
      <c r="R9" s="515"/>
    </row>
    <row r="10" spans="1:18" ht="37.5" customHeight="1">
      <c r="A10" s="88"/>
      <c r="B10" s="1057" t="s">
        <v>31</v>
      </c>
      <c r="C10" s="310" t="s">
        <v>32</v>
      </c>
      <c r="D10" s="895"/>
      <c r="E10" s="311" t="s">
        <v>227</v>
      </c>
      <c r="F10" s="356">
        <f t="shared" si="1"/>
        <v>0</v>
      </c>
      <c r="G10" s="893"/>
      <c r="H10" s="356" t="e">
        <f t="shared" si="1"/>
        <v>#DIV/0!</v>
      </c>
      <c r="I10" s="358" t="e">
        <f t="shared" ref="I10:I18" si="13">$I$34*(G10/G$20)</f>
        <v>#DIV/0!</v>
      </c>
      <c r="J10" s="356" t="e">
        <f t="shared" ref="J10" si="14">ROUNDDOWN((K10/3.30578),1)</f>
        <v>#DIV/0!</v>
      </c>
      <c r="K10" s="358" t="e">
        <f t="shared" ref="K10" si="15">G10+I10</f>
        <v>#DIV/0!</v>
      </c>
      <c r="L10" s="356">
        <f t="shared" ref="L10" si="16">ROUNDDOWN((M10/3.30578),1)</f>
        <v>0</v>
      </c>
      <c r="M10" s="358"/>
      <c r="N10" s="356" t="e">
        <f t="shared" ref="N10" si="17">ROUNDDOWN((O10/3.30578),1)</f>
        <v>#DIV/0!</v>
      </c>
      <c r="O10" s="338" t="e">
        <f t="shared" si="0"/>
        <v>#DIV/0!</v>
      </c>
      <c r="P10" s="96"/>
      <c r="R10" s="516"/>
    </row>
    <row r="11" spans="1:18" ht="37.5" customHeight="1">
      <c r="A11" s="88"/>
      <c r="B11" s="1058"/>
      <c r="C11" s="312" t="s">
        <v>32</v>
      </c>
      <c r="D11" s="896"/>
      <c r="E11" s="313" t="s">
        <v>228</v>
      </c>
      <c r="F11" s="325">
        <f t="shared" si="1"/>
        <v>0</v>
      </c>
      <c r="G11" s="894"/>
      <c r="H11" s="325" t="e">
        <f t="shared" si="1"/>
        <v>#DIV/0!</v>
      </c>
      <c r="I11" s="359" t="e">
        <f t="shared" si="13"/>
        <v>#DIV/0!</v>
      </c>
      <c r="J11" s="325" t="e">
        <f t="shared" ref="J11" si="18">ROUNDDOWN((K11/3.30578),1)</f>
        <v>#DIV/0!</v>
      </c>
      <c r="K11" s="359" t="e">
        <f t="shared" si="4"/>
        <v>#DIV/0!</v>
      </c>
      <c r="L11" s="325">
        <f t="shared" ref="L11" si="19">ROUNDDOWN((M11/3.30578),1)</f>
        <v>0</v>
      </c>
      <c r="M11" s="359"/>
      <c r="N11" s="325" t="e">
        <f t="shared" ref="N11" si="20">ROUNDDOWN((O11/3.30578),1)</f>
        <v>#DIV/0!</v>
      </c>
      <c r="O11" s="339" t="e">
        <f t="shared" si="0"/>
        <v>#DIV/0!</v>
      </c>
      <c r="P11" s="96"/>
    </row>
    <row r="12" spans="1:18" ht="37.5" customHeight="1">
      <c r="A12" s="88"/>
      <c r="B12" s="1058"/>
      <c r="C12" s="312" t="s">
        <v>36</v>
      </c>
      <c r="D12" s="896"/>
      <c r="E12" s="313" t="s">
        <v>224</v>
      </c>
      <c r="F12" s="325">
        <f t="shared" si="1"/>
        <v>0</v>
      </c>
      <c r="G12" s="894"/>
      <c r="H12" s="325" t="e">
        <f t="shared" si="1"/>
        <v>#DIV/0!</v>
      </c>
      <c r="I12" s="359" t="e">
        <f t="shared" si="13"/>
        <v>#DIV/0!</v>
      </c>
      <c r="J12" s="325" t="e">
        <f t="shared" ref="J12" si="21">ROUNDDOWN((K12/3.30578),1)</f>
        <v>#DIV/0!</v>
      </c>
      <c r="K12" s="359" t="e">
        <f t="shared" si="4"/>
        <v>#DIV/0!</v>
      </c>
      <c r="L12" s="325">
        <f t="shared" ref="L12" si="22">ROUNDDOWN((M12/3.30578),1)</f>
        <v>0</v>
      </c>
      <c r="M12" s="359"/>
      <c r="N12" s="325" t="e">
        <f t="shared" ref="N12" si="23">ROUNDDOWN((O12/3.30578),1)</f>
        <v>#DIV/0!</v>
      </c>
      <c r="O12" s="339" t="e">
        <f t="shared" si="0"/>
        <v>#DIV/0!</v>
      </c>
      <c r="P12" s="96"/>
    </row>
    <row r="13" spans="1:18" ht="37.5" customHeight="1">
      <c r="A13" s="88"/>
      <c r="B13" s="1058"/>
      <c r="C13" s="312" t="s">
        <v>36</v>
      </c>
      <c r="D13" s="896"/>
      <c r="E13" s="313" t="s">
        <v>225</v>
      </c>
      <c r="F13" s="325">
        <f t="shared" si="1"/>
        <v>0</v>
      </c>
      <c r="G13" s="894"/>
      <c r="H13" s="325" t="e">
        <f t="shared" si="1"/>
        <v>#DIV/0!</v>
      </c>
      <c r="I13" s="359" t="e">
        <f t="shared" si="13"/>
        <v>#DIV/0!</v>
      </c>
      <c r="J13" s="325" t="e">
        <f t="shared" ref="J13" si="24">ROUNDDOWN((K13/3.30578),1)</f>
        <v>#DIV/0!</v>
      </c>
      <c r="K13" s="359" t="e">
        <f t="shared" si="4"/>
        <v>#DIV/0!</v>
      </c>
      <c r="L13" s="325">
        <f t="shared" ref="L13" si="25">ROUNDDOWN((M13/3.30578),1)</f>
        <v>0</v>
      </c>
      <c r="M13" s="359"/>
      <c r="N13" s="325" t="e">
        <f t="shared" ref="N13" si="26">ROUNDDOWN((O13/3.30578),1)</f>
        <v>#DIV/0!</v>
      </c>
      <c r="O13" s="339" t="e">
        <f t="shared" si="0"/>
        <v>#DIV/0!</v>
      </c>
      <c r="P13" s="96"/>
    </row>
    <row r="14" spans="1:18" ht="37.5" customHeight="1">
      <c r="A14" s="88"/>
      <c r="B14" s="1058"/>
      <c r="C14" s="312" t="s">
        <v>36</v>
      </c>
      <c r="D14" s="896"/>
      <c r="E14" s="313" t="s">
        <v>226</v>
      </c>
      <c r="F14" s="325">
        <f t="shared" si="1"/>
        <v>0</v>
      </c>
      <c r="G14" s="894"/>
      <c r="H14" s="325" t="e">
        <f t="shared" si="1"/>
        <v>#DIV/0!</v>
      </c>
      <c r="I14" s="359" t="e">
        <f t="shared" si="13"/>
        <v>#DIV/0!</v>
      </c>
      <c r="J14" s="325" t="e">
        <f t="shared" ref="J14" si="27">ROUNDDOWN((K14/3.30578),1)</f>
        <v>#DIV/0!</v>
      </c>
      <c r="K14" s="359" t="e">
        <f t="shared" si="4"/>
        <v>#DIV/0!</v>
      </c>
      <c r="L14" s="325">
        <f t="shared" ref="L14" si="28">ROUNDDOWN((M14/3.30578),1)</f>
        <v>0</v>
      </c>
      <c r="M14" s="359"/>
      <c r="N14" s="325" t="e">
        <f t="shared" ref="N14" si="29">ROUNDDOWN((O14/3.30578),1)</f>
        <v>#DIV/0!</v>
      </c>
      <c r="O14" s="339" t="e">
        <f t="shared" si="0"/>
        <v>#DIV/0!</v>
      </c>
      <c r="P14" s="96"/>
    </row>
    <row r="15" spans="1:18" ht="37.5" customHeight="1">
      <c r="A15" s="88"/>
      <c r="B15" s="1058"/>
      <c r="C15" s="312" t="s">
        <v>39</v>
      </c>
      <c r="D15" s="896"/>
      <c r="E15" s="313" t="s">
        <v>223</v>
      </c>
      <c r="F15" s="325">
        <f t="shared" si="1"/>
        <v>0</v>
      </c>
      <c r="G15" s="894"/>
      <c r="H15" s="325" t="e">
        <f t="shared" si="1"/>
        <v>#DIV/0!</v>
      </c>
      <c r="I15" s="359" t="e">
        <f t="shared" si="13"/>
        <v>#DIV/0!</v>
      </c>
      <c r="J15" s="325" t="e">
        <f t="shared" ref="J15" si="30">ROUNDDOWN((K15/3.30578),1)</f>
        <v>#DIV/0!</v>
      </c>
      <c r="K15" s="359" t="e">
        <f t="shared" si="4"/>
        <v>#DIV/0!</v>
      </c>
      <c r="L15" s="325">
        <f t="shared" ref="L15" si="31">ROUNDDOWN((M15/3.30578),1)</f>
        <v>0</v>
      </c>
      <c r="M15" s="359"/>
      <c r="N15" s="325" t="e">
        <f t="shared" ref="N15" si="32">ROUNDDOWN((O15/3.30578),1)</f>
        <v>#DIV/0!</v>
      </c>
      <c r="O15" s="339" t="e">
        <f t="shared" si="0"/>
        <v>#DIV/0!</v>
      </c>
      <c r="P15" s="96"/>
    </row>
    <row r="16" spans="1:18" ht="37.5" customHeight="1">
      <c r="A16" s="88"/>
      <c r="B16" s="1058"/>
      <c r="C16" s="312" t="s">
        <v>39</v>
      </c>
      <c r="D16" s="896"/>
      <c r="E16" s="313" t="s">
        <v>215</v>
      </c>
      <c r="F16" s="325">
        <f t="shared" si="1"/>
        <v>0</v>
      </c>
      <c r="G16" s="894"/>
      <c r="H16" s="325" t="e">
        <f t="shared" si="1"/>
        <v>#DIV/0!</v>
      </c>
      <c r="I16" s="359" t="e">
        <f t="shared" si="13"/>
        <v>#DIV/0!</v>
      </c>
      <c r="J16" s="325" t="e">
        <f t="shared" ref="J16" si="33">ROUNDDOWN((K16/3.30578),1)</f>
        <v>#DIV/0!</v>
      </c>
      <c r="K16" s="359" t="e">
        <f t="shared" si="4"/>
        <v>#DIV/0!</v>
      </c>
      <c r="L16" s="325">
        <f t="shared" ref="L16" si="34">ROUNDDOWN((M16/3.30578),1)</f>
        <v>0</v>
      </c>
      <c r="M16" s="359"/>
      <c r="N16" s="325" t="e">
        <f t="shared" ref="N16" si="35">ROUNDDOWN((O16/3.30578),1)</f>
        <v>#DIV/0!</v>
      </c>
      <c r="O16" s="339" t="e">
        <f t="shared" si="0"/>
        <v>#DIV/0!</v>
      </c>
      <c r="P16" s="96"/>
    </row>
    <row r="17" spans="1:16" ht="37.5" customHeight="1">
      <c r="A17" s="88"/>
      <c r="B17" s="1058"/>
      <c r="C17" s="312" t="s">
        <v>39</v>
      </c>
      <c r="D17" s="898"/>
      <c r="E17" s="314" t="s">
        <v>222</v>
      </c>
      <c r="F17" s="325">
        <f t="shared" si="1"/>
        <v>0</v>
      </c>
      <c r="G17" s="894"/>
      <c r="H17" s="325" t="e">
        <f t="shared" si="1"/>
        <v>#DIV/0!</v>
      </c>
      <c r="I17" s="359" t="e">
        <f t="shared" si="13"/>
        <v>#DIV/0!</v>
      </c>
      <c r="J17" s="325" t="e">
        <f t="shared" ref="J17" si="36">ROUNDDOWN((K17/3.30578),1)</f>
        <v>#DIV/0!</v>
      </c>
      <c r="K17" s="359" t="e">
        <f t="shared" si="4"/>
        <v>#DIV/0!</v>
      </c>
      <c r="L17" s="325">
        <f t="shared" ref="L17" si="37">ROUNDDOWN((M17/3.30578),1)</f>
        <v>0</v>
      </c>
      <c r="M17" s="361"/>
      <c r="N17" s="325" t="e">
        <f t="shared" ref="N17" si="38">ROUNDDOWN((O17/3.30578),1)</f>
        <v>#DIV/0!</v>
      </c>
      <c r="O17" s="339" t="e">
        <f t="shared" si="0"/>
        <v>#DIV/0!</v>
      </c>
      <c r="P17" s="96"/>
    </row>
    <row r="18" spans="1:16" ht="37.5" customHeight="1">
      <c r="A18" s="88"/>
      <c r="B18" s="1058"/>
      <c r="C18" s="320" t="s">
        <v>41</v>
      </c>
      <c r="D18" s="899"/>
      <c r="E18" s="291" t="s">
        <v>221</v>
      </c>
      <c r="F18" s="328">
        <f t="shared" si="1"/>
        <v>0</v>
      </c>
      <c r="G18" s="892"/>
      <c r="H18" s="328" t="e">
        <f t="shared" si="1"/>
        <v>#DIV/0!</v>
      </c>
      <c r="I18" s="360" t="e">
        <f t="shared" si="13"/>
        <v>#DIV/0!</v>
      </c>
      <c r="J18" s="328" t="e">
        <f t="shared" ref="J18" si="39">ROUNDDOWN((K18/3.30578),1)</f>
        <v>#DIV/0!</v>
      </c>
      <c r="K18" s="360" t="e">
        <f t="shared" si="4"/>
        <v>#DIV/0!</v>
      </c>
      <c r="L18" s="328">
        <f t="shared" ref="L18" si="40">ROUNDDOWN((M18/3.30578),1)</f>
        <v>0</v>
      </c>
      <c r="M18" s="362"/>
      <c r="N18" s="328" t="e">
        <f t="shared" ref="N18" si="41">ROUNDDOWN((O18/3.30578),1)</f>
        <v>#DIV/0!</v>
      </c>
      <c r="O18" s="340" t="e">
        <f t="shared" si="0"/>
        <v>#DIV/0!</v>
      </c>
      <c r="P18" s="97"/>
    </row>
    <row r="19" spans="1:16" ht="37.5" customHeight="1">
      <c r="A19" s="88"/>
      <c r="B19" s="1059"/>
      <c r="C19" s="363" t="s">
        <v>204</v>
      </c>
      <c r="D19" s="364">
        <f>SUM(D10:D18)</f>
        <v>0</v>
      </c>
      <c r="E19" s="366"/>
      <c r="F19" s="367">
        <f t="shared" si="1"/>
        <v>0</v>
      </c>
      <c r="G19" s="357">
        <f>SUM(G10:G18)</f>
        <v>0</v>
      </c>
      <c r="H19" s="367" t="e">
        <f t="shared" si="1"/>
        <v>#DIV/0!</v>
      </c>
      <c r="I19" s="357" t="e">
        <f>SUM(I10:I18)</f>
        <v>#DIV/0!</v>
      </c>
      <c r="J19" s="367" t="e">
        <f t="shared" ref="J19" si="42">ROUNDDOWN((K19/3.30578),1)</f>
        <v>#DIV/0!</v>
      </c>
      <c r="K19" s="357" t="e">
        <f>SUM(K10:K18)</f>
        <v>#DIV/0!</v>
      </c>
      <c r="L19" s="367">
        <f t="shared" ref="L19" si="43">ROUNDDOWN((M19/3.30578),1)</f>
        <v>0</v>
      </c>
      <c r="M19" s="357">
        <f>SUM(M10:M18)</f>
        <v>0</v>
      </c>
      <c r="N19" s="367" t="e">
        <f t="shared" ref="N19" si="44">ROUNDDOWN((O19/3.30578),1)</f>
        <v>#DIV/0!</v>
      </c>
      <c r="O19" s="337" t="e">
        <f>SUM(O10:O18)</f>
        <v>#DIV/0!</v>
      </c>
      <c r="P19" s="98"/>
    </row>
    <row r="20" spans="1:16" ht="37.5" customHeight="1" thickBot="1">
      <c r="A20" s="88"/>
      <c r="B20" s="1064" t="s">
        <v>42</v>
      </c>
      <c r="C20" s="1065"/>
      <c r="D20" s="323">
        <f>D9+D19</f>
        <v>0</v>
      </c>
      <c r="E20" s="346"/>
      <c r="F20" s="318">
        <f t="shared" si="1"/>
        <v>0</v>
      </c>
      <c r="G20" s="333">
        <f>G9+G19</f>
        <v>0</v>
      </c>
      <c r="H20" s="318" t="e">
        <f t="shared" si="1"/>
        <v>#DIV/0!</v>
      </c>
      <c r="I20" s="333" t="e">
        <f>I9+I19</f>
        <v>#DIV/0!</v>
      </c>
      <c r="J20" s="318" t="e">
        <f t="shared" si="1"/>
        <v>#DIV/0!</v>
      </c>
      <c r="K20" s="333" t="e">
        <f>K9+K19</f>
        <v>#DIV/0!</v>
      </c>
      <c r="L20" s="318">
        <f t="shared" si="1"/>
        <v>0</v>
      </c>
      <c r="M20" s="333">
        <f>M9+M19</f>
        <v>0</v>
      </c>
      <c r="N20" s="318" t="e">
        <f t="shared" si="1"/>
        <v>#DIV/0!</v>
      </c>
      <c r="O20" s="341" t="e">
        <f>O9+O19</f>
        <v>#DIV/0!</v>
      </c>
      <c r="P20" s="99"/>
    </row>
    <row r="21" spans="1:16" ht="37.5" customHeight="1" thickBot="1">
      <c r="A21" s="88"/>
      <c r="B21" s="1066" t="s">
        <v>44</v>
      </c>
      <c r="C21" s="1067"/>
      <c r="D21" s="189"/>
      <c r="E21" s="189"/>
      <c r="F21" s="37"/>
      <c r="G21" s="37"/>
      <c r="H21" s="38"/>
      <c r="I21" s="37"/>
      <c r="J21" s="37"/>
      <c r="K21" s="37"/>
      <c r="L21" s="37"/>
      <c r="M21" s="37"/>
      <c r="N21" s="37"/>
      <c r="O21" s="39"/>
      <c r="P21" s="100"/>
    </row>
    <row r="22" spans="1:16" ht="21" customHeight="1" thickBot="1">
      <c r="A22" s="101"/>
      <c r="B22" s="102"/>
      <c r="C22" s="102"/>
      <c r="D22" s="103"/>
      <c r="E22" s="103"/>
      <c r="F22" s="103"/>
      <c r="G22" s="103"/>
      <c r="H22" s="104"/>
      <c r="I22" s="103"/>
      <c r="J22" s="103"/>
      <c r="K22" s="103"/>
      <c r="L22" s="103"/>
      <c r="M22" s="103"/>
      <c r="N22" s="103"/>
      <c r="O22" s="103"/>
      <c r="P22" s="105"/>
    </row>
    <row r="23" spans="1:16" s="45" customFormat="1" ht="23.25" customHeight="1" thickBot="1">
      <c r="A23" s="106"/>
      <c r="B23" s="65"/>
      <c r="C23" s="65"/>
      <c r="D23" s="66"/>
      <c r="E23" s="66"/>
      <c r="F23" s="66"/>
      <c r="G23" s="66"/>
      <c r="H23" s="67"/>
      <c r="I23" s="66"/>
      <c r="J23" s="66"/>
      <c r="K23" s="66"/>
      <c r="L23" s="66"/>
      <c r="M23" s="66"/>
      <c r="N23" s="66"/>
      <c r="O23" s="66"/>
      <c r="P23" s="66"/>
    </row>
    <row r="24" spans="1:16" ht="41.25" customHeight="1" thickBot="1">
      <c r="A24" s="1047" t="s">
        <v>140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9"/>
    </row>
    <row r="25" spans="1:16" ht="18.75" customHeight="1" thickBot="1">
      <c r="A25" s="88"/>
      <c r="B25" s="91"/>
      <c r="C25" s="90"/>
      <c r="D25" s="90"/>
      <c r="E25" s="90"/>
      <c r="F25" s="90"/>
      <c r="G25" s="90"/>
      <c r="H25" s="90"/>
      <c r="I25" s="90"/>
      <c r="J25" s="64"/>
      <c r="K25" s="64"/>
      <c r="L25" s="64"/>
      <c r="M25" s="64"/>
      <c r="N25" s="64"/>
      <c r="O25" s="190" t="s">
        <v>138</v>
      </c>
      <c r="P25" s="107"/>
    </row>
    <row r="26" spans="1:16" ht="37.5" customHeight="1">
      <c r="A26" s="88"/>
      <c r="B26" s="1037" t="s">
        <v>208</v>
      </c>
      <c r="C26" s="1078" t="s">
        <v>25</v>
      </c>
      <c r="D26" s="1079"/>
      <c r="E26" s="1029" t="s">
        <v>141</v>
      </c>
      <c r="F26" s="1027" t="s">
        <v>27</v>
      </c>
      <c r="G26" s="1028"/>
      <c r="H26" s="1027" t="s">
        <v>143</v>
      </c>
      <c r="I26" s="1028"/>
      <c r="J26" s="1027" t="s">
        <v>46</v>
      </c>
      <c r="K26" s="1028"/>
      <c r="L26" s="1076" t="s">
        <v>142</v>
      </c>
      <c r="M26" s="1077"/>
      <c r="N26" s="1039" t="s">
        <v>234</v>
      </c>
      <c r="O26" s="1040"/>
      <c r="P26" s="108"/>
    </row>
    <row r="27" spans="1:16" s="45" customFormat="1" ht="37.5" customHeight="1">
      <c r="A27" s="88"/>
      <c r="B27" s="1038"/>
      <c r="C27" s="1041"/>
      <c r="D27" s="1080"/>
      <c r="E27" s="1030"/>
      <c r="F27" s="327" t="s">
        <v>214</v>
      </c>
      <c r="G27" s="327" t="s">
        <v>137</v>
      </c>
      <c r="H27" s="327" t="s">
        <v>214</v>
      </c>
      <c r="I27" s="327" t="s">
        <v>137</v>
      </c>
      <c r="J27" s="327" t="s">
        <v>214</v>
      </c>
      <c r="K27" s="327" t="s">
        <v>137</v>
      </c>
      <c r="L27" s="329" t="s">
        <v>214</v>
      </c>
      <c r="M27" s="327" t="s">
        <v>137</v>
      </c>
      <c r="N27" s="1041"/>
      <c r="O27" s="1042"/>
      <c r="P27" s="108"/>
    </row>
    <row r="28" spans="1:16" ht="37.5" customHeight="1">
      <c r="A28" s="88"/>
      <c r="B28" s="343" t="s">
        <v>205</v>
      </c>
      <c r="C28" s="1081" t="s">
        <v>216</v>
      </c>
      <c r="D28" s="1082"/>
      <c r="E28" s="315">
        <v>1</v>
      </c>
      <c r="F28" s="324">
        <f t="shared" ref="F28:H28" si="45">ROUNDDOWN((G28/3.30578),1)</f>
        <v>0</v>
      </c>
      <c r="G28" s="379">
        <f>G6</f>
        <v>0</v>
      </c>
      <c r="H28" s="324">
        <f t="shared" si="45"/>
        <v>0</v>
      </c>
      <c r="I28" s="379">
        <f t="shared" ref="I28:I33" si="46">K28-G28</f>
        <v>0</v>
      </c>
      <c r="J28" s="324">
        <f t="shared" ref="J28:L28" si="47">ROUNDDOWN((K28/3.30578),1)</f>
        <v>0</v>
      </c>
      <c r="K28" s="379"/>
      <c r="L28" s="375">
        <f t="shared" si="47"/>
        <v>0</v>
      </c>
      <c r="M28" s="358"/>
      <c r="N28" s="1068">
        <f t="shared" ref="N28:N29" si="48">K28+M28</f>
        <v>0</v>
      </c>
      <c r="O28" s="1069"/>
      <c r="P28" s="109"/>
    </row>
    <row r="29" spans="1:16" s="45" customFormat="1" ht="37.5" customHeight="1">
      <c r="A29" s="88"/>
      <c r="B29" s="344" t="s">
        <v>206</v>
      </c>
      <c r="C29" s="1031" t="s">
        <v>216</v>
      </c>
      <c r="D29" s="1032"/>
      <c r="E29" s="313">
        <v>1</v>
      </c>
      <c r="F29" s="325">
        <f t="shared" ref="F29:H29" si="49">ROUNDDOWN((G29/3.30578),1)</f>
        <v>0</v>
      </c>
      <c r="G29" s="361">
        <f>G7</f>
        <v>0</v>
      </c>
      <c r="H29" s="325">
        <f t="shared" si="49"/>
        <v>0</v>
      </c>
      <c r="I29" s="361">
        <f t="shared" si="46"/>
        <v>0</v>
      </c>
      <c r="J29" s="325">
        <f t="shared" ref="J29:L29" si="50">ROUNDDOWN((K29/3.30578),1)</f>
        <v>0</v>
      </c>
      <c r="K29" s="361"/>
      <c r="L29" s="376">
        <f t="shared" si="50"/>
        <v>0</v>
      </c>
      <c r="M29" s="361"/>
      <c r="N29" s="1083">
        <f t="shared" si="48"/>
        <v>0</v>
      </c>
      <c r="O29" s="1084"/>
      <c r="P29" s="109"/>
    </row>
    <row r="30" spans="1:16" ht="37.5" customHeight="1">
      <c r="A30" s="88"/>
      <c r="B30" s="344" t="s">
        <v>209</v>
      </c>
      <c r="C30" s="1031" t="s">
        <v>217</v>
      </c>
      <c r="D30" s="1032"/>
      <c r="E30" s="313">
        <v>3</v>
      </c>
      <c r="F30" s="326">
        <f t="shared" ref="F30:H30" si="51">ROUNDDOWN((G30/3.30578),1)</f>
        <v>0</v>
      </c>
      <c r="G30" s="359">
        <f>G8+G10+G11</f>
        <v>0</v>
      </c>
      <c r="H30" s="326">
        <f t="shared" si="51"/>
        <v>0</v>
      </c>
      <c r="I30" s="361">
        <f t="shared" si="46"/>
        <v>0</v>
      </c>
      <c r="J30" s="326">
        <f t="shared" ref="J30:L30" si="52">ROUNDDOWN((K30/3.30578),1)</f>
        <v>0</v>
      </c>
      <c r="K30" s="359"/>
      <c r="L30" s="377">
        <f t="shared" si="52"/>
        <v>0</v>
      </c>
      <c r="M30" s="359">
        <f>M13*2</f>
        <v>0</v>
      </c>
      <c r="N30" s="1070">
        <f>K30+M30</f>
        <v>0</v>
      </c>
      <c r="O30" s="1071"/>
      <c r="P30" s="109"/>
    </row>
    <row r="31" spans="1:16" ht="37.5" customHeight="1">
      <c r="A31" s="88"/>
      <c r="B31" s="344" t="s">
        <v>210</v>
      </c>
      <c r="C31" s="1031" t="s">
        <v>31</v>
      </c>
      <c r="D31" s="1032"/>
      <c r="E31" s="313">
        <v>3</v>
      </c>
      <c r="F31" s="326">
        <f t="shared" ref="F31:H31" si="53">ROUNDDOWN((G31/3.30578),1)</f>
        <v>0</v>
      </c>
      <c r="G31" s="359">
        <f>G12+G13+G14</f>
        <v>0</v>
      </c>
      <c r="H31" s="326">
        <f t="shared" si="53"/>
        <v>0</v>
      </c>
      <c r="I31" s="361">
        <f t="shared" si="46"/>
        <v>0</v>
      </c>
      <c r="J31" s="326">
        <f t="shared" ref="J31:L31" si="54">ROUNDDOWN((K31/3.30578),1)</f>
        <v>0</v>
      </c>
      <c r="K31" s="359"/>
      <c r="L31" s="377">
        <f t="shared" si="54"/>
        <v>0</v>
      </c>
      <c r="M31" s="359"/>
      <c r="N31" s="1070">
        <f t="shared" ref="N31:N33" si="55">K31+M31</f>
        <v>0</v>
      </c>
      <c r="O31" s="1071"/>
      <c r="P31" s="109"/>
    </row>
    <row r="32" spans="1:16" ht="37.5" customHeight="1">
      <c r="A32" s="88"/>
      <c r="B32" s="344" t="s">
        <v>211</v>
      </c>
      <c r="C32" s="1031" t="s">
        <v>31</v>
      </c>
      <c r="D32" s="1032"/>
      <c r="E32" s="313">
        <v>3</v>
      </c>
      <c r="F32" s="326">
        <f t="shared" ref="F32:H32" si="56">ROUNDDOWN((G32/3.30578),1)</f>
        <v>0</v>
      </c>
      <c r="G32" s="359"/>
      <c r="H32" s="326">
        <f t="shared" si="56"/>
        <v>0</v>
      </c>
      <c r="I32" s="361">
        <f t="shared" si="46"/>
        <v>0</v>
      </c>
      <c r="J32" s="326">
        <f t="shared" ref="J32:L32" si="57">ROUNDDOWN((K32/3.30578),1)</f>
        <v>0</v>
      </c>
      <c r="K32" s="359"/>
      <c r="L32" s="377">
        <f t="shared" si="57"/>
        <v>0</v>
      </c>
      <c r="M32" s="359">
        <f>M15+M16+M17</f>
        <v>0</v>
      </c>
      <c r="N32" s="1070">
        <f t="shared" si="55"/>
        <v>0</v>
      </c>
      <c r="O32" s="1071"/>
      <c r="P32" s="109"/>
    </row>
    <row r="33" spans="1:16" ht="37.5" customHeight="1">
      <c r="A33" s="88"/>
      <c r="B33" s="345" t="s">
        <v>212</v>
      </c>
      <c r="C33" s="1043" t="s">
        <v>48</v>
      </c>
      <c r="D33" s="1044"/>
      <c r="E33" s="317">
        <v>1</v>
      </c>
      <c r="F33" s="319">
        <f t="shared" ref="F33:H33" si="58">ROUNDDOWN((G33/3.30578),1)</f>
        <v>0</v>
      </c>
      <c r="G33" s="360"/>
      <c r="H33" s="319">
        <f t="shared" si="58"/>
        <v>0</v>
      </c>
      <c r="I33" s="360">
        <f t="shared" si="46"/>
        <v>0</v>
      </c>
      <c r="J33" s="319">
        <f t="shared" ref="J33:L33" si="59">ROUNDDOWN((K33/3.30578),1)</f>
        <v>0</v>
      </c>
      <c r="K33" s="360"/>
      <c r="L33" s="378">
        <f t="shared" si="59"/>
        <v>0</v>
      </c>
      <c r="M33" s="360">
        <f>M18</f>
        <v>0</v>
      </c>
      <c r="N33" s="1072">
        <f t="shared" si="55"/>
        <v>0</v>
      </c>
      <c r="O33" s="1073"/>
      <c r="P33" s="109"/>
    </row>
    <row r="34" spans="1:16" s="45" customFormat="1" ht="37.5" customHeight="1">
      <c r="A34" s="88"/>
      <c r="B34" s="1024" t="s">
        <v>213</v>
      </c>
      <c r="C34" s="1025"/>
      <c r="D34" s="1026"/>
      <c r="E34" s="352">
        <f>SUM(E28:E33)</f>
        <v>12</v>
      </c>
      <c r="F34" s="348">
        <f t="shared" ref="F34:L36" si="60">ROUNDDOWN((G34/3.30578),1)</f>
        <v>0</v>
      </c>
      <c r="G34" s="351">
        <f>SUM(G28:G33)</f>
        <v>0</v>
      </c>
      <c r="H34" s="348">
        <f t="shared" si="60"/>
        <v>0</v>
      </c>
      <c r="I34" s="351">
        <f>SUM(I28:I33)</f>
        <v>0</v>
      </c>
      <c r="J34" s="348">
        <f t="shared" si="60"/>
        <v>0</v>
      </c>
      <c r="K34" s="351">
        <f>SUM(K28:K33)</f>
        <v>0</v>
      </c>
      <c r="L34" s="330">
        <f t="shared" si="60"/>
        <v>0</v>
      </c>
      <c r="M34" s="354">
        <f>SUM(M28:M33)</f>
        <v>0</v>
      </c>
      <c r="N34" s="1033">
        <f t="shared" ref="N34:O34" si="61">SUM(N28:N33)</f>
        <v>0</v>
      </c>
      <c r="O34" s="1034">
        <f t="shared" si="61"/>
        <v>0</v>
      </c>
      <c r="P34" s="109"/>
    </row>
    <row r="35" spans="1:16" ht="37.5" customHeight="1">
      <c r="A35" s="88"/>
      <c r="B35" s="368" t="s">
        <v>49</v>
      </c>
      <c r="C35" s="1045" t="s">
        <v>50</v>
      </c>
      <c r="D35" s="1046"/>
      <c r="E35" s="369"/>
      <c r="F35" s="370"/>
      <c r="G35" s="370"/>
      <c r="H35" s="370"/>
      <c r="I35" s="370"/>
      <c r="J35" s="371">
        <f t="shared" si="60"/>
        <v>0</v>
      </c>
      <c r="K35" s="372">
        <f>'&lt;서식1&gt;사업개요'!D18*11.5</f>
        <v>0</v>
      </c>
      <c r="L35" s="373"/>
      <c r="M35" s="374"/>
      <c r="N35" s="1035" t="s">
        <v>219</v>
      </c>
      <c r="O35" s="1036"/>
      <c r="P35" s="63"/>
    </row>
    <row r="36" spans="1:16" ht="37.5" customHeight="1" thickBot="1">
      <c r="A36" s="88"/>
      <c r="B36" s="1021" t="s">
        <v>51</v>
      </c>
      <c r="C36" s="1022"/>
      <c r="D36" s="1023"/>
      <c r="E36" s="353">
        <f>E34+E35</f>
        <v>12</v>
      </c>
      <c r="F36" s="318">
        <f t="shared" ref="F36" si="62">ROUNDDOWN((G36/3.30578),1)</f>
        <v>0</v>
      </c>
      <c r="G36" s="350">
        <f t="shared" ref="G36:K36" si="63">G34+G35</f>
        <v>0</v>
      </c>
      <c r="H36" s="318">
        <f t="shared" ref="H36" si="64">ROUNDDOWN((I36/3.30578),1)</f>
        <v>0</v>
      </c>
      <c r="I36" s="350">
        <f t="shared" si="63"/>
        <v>0</v>
      </c>
      <c r="J36" s="347">
        <f t="shared" si="60"/>
        <v>0</v>
      </c>
      <c r="K36" s="347">
        <f t="shared" si="63"/>
        <v>0</v>
      </c>
      <c r="L36" s="355">
        <f t="shared" si="60"/>
        <v>0</v>
      </c>
      <c r="M36" s="349">
        <f t="shared" ref="M36" si="65">M34+M35</f>
        <v>0</v>
      </c>
      <c r="N36" s="1074">
        <f>K36+M36</f>
        <v>0</v>
      </c>
      <c r="O36" s="1075"/>
      <c r="P36" s="110"/>
    </row>
    <row r="37" spans="1:16" ht="19.5" customHeight="1" thickBot="1">
      <c r="A37" s="10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112"/>
    </row>
    <row r="38" spans="1:16" ht="19.5" customHeight="1">
      <c r="H38" s="424"/>
      <c r="I38" s="868"/>
    </row>
    <row r="39" spans="1:16" s="45" customFormat="1" ht="19.5" customHeight="1">
      <c r="I39" s="342"/>
    </row>
    <row r="40" spans="1:16" s="45" customFormat="1" ht="19.5" customHeight="1"/>
    <row r="41" spans="1:16" ht="19.5" customHeight="1"/>
    <row r="42" spans="1:16" ht="19.5" customHeight="1">
      <c r="H42" s="1062"/>
      <c r="I42" s="1063"/>
    </row>
    <row r="43" spans="1:16" ht="19.5" customHeight="1"/>
    <row r="44" spans="1:16" ht="19.5" customHeight="1"/>
    <row r="45" spans="1:16" ht="19.5" customHeight="1"/>
    <row r="46" spans="1:16" ht="19.5" customHeight="1"/>
    <row r="47" spans="1:16" ht="19.5" customHeight="1">
      <c r="A47"/>
      <c r="P47"/>
    </row>
    <row r="48" spans="1:16" ht="19.5" customHeight="1">
      <c r="A48"/>
      <c r="P48"/>
    </row>
    <row r="49" spans="1:16" ht="19.5" customHeight="1">
      <c r="A49"/>
      <c r="P49"/>
    </row>
    <row r="50" spans="1:16" ht="19.5" customHeight="1">
      <c r="A50"/>
      <c r="P50"/>
    </row>
    <row r="51" spans="1:16" ht="19.5" customHeight="1">
      <c r="A51"/>
      <c r="P51"/>
    </row>
    <row r="52" spans="1:16" ht="19.5" customHeight="1">
      <c r="A52"/>
      <c r="P52"/>
    </row>
  </sheetData>
  <mergeCells count="42">
    <mergeCell ref="H42:I42"/>
    <mergeCell ref="B20:C20"/>
    <mergeCell ref="B21:C21"/>
    <mergeCell ref="N28:O28"/>
    <mergeCell ref="N30:O30"/>
    <mergeCell ref="N31:O31"/>
    <mergeCell ref="N32:O32"/>
    <mergeCell ref="N33:O33"/>
    <mergeCell ref="N36:O36"/>
    <mergeCell ref="L26:M26"/>
    <mergeCell ref="H26:I26"/>
    <mergeCell ref="J26:K26"/>
    <mergeCell ref="C26:D27"/>
    <mergeCell ref="C28:D28"/>
    <mergeCell ref="C29:D29"/>
    <mergeCell ref="N29:O29"/>
    <mergeCell ref="A2:P2"/>
    <mergeCell ref="A24:P24"/>
    <mergeCell ref="N4:O4"/>
    <mergeCell ref="E4:E5"/>
    <mergeCell ref="F4:G4"/>
    <mergeCell ref="H4:I4"/>
    <mergeCell ref="J4:K4"/>
    <mergeCell ref="L4:M4"/>
    <mergeCell ref="B6:B9"/>
    <mergeCell ref="B10:B19"/>
    <mergeCell ref="B4:B5"/>
    <mergeCell ref="C4:C5"/>
    <mergeCell ref="D4:D5"/>
    <mergeCell ref="N34:O34"/>
    <mergeCell ref="N35:O35"/>
    <mergeCell ref="B26:B27"/>
    <mergeCell ref="N26:O27"/>
    <mergeCell ref="C33:D33"/>
    <mergeCell ref="C35:D35"/>
    <mergeCell ref="B36:D36"/>
    <mergeCell ref="B34:D34"/>
    <mergeCell ref="F26:G26"/>
    <mergeCell ref="E26:E27"/>
    <mergeCell ref="C30:D30"/>
    <mergeCell ref="C31:D31"/>
    <mergeCell ref="C32:D32"/>
  </mergeCells>
  <phoneticPr fontId="8" type="noConversion"/>
  <printOptions horizontalCentered="1"/>
  <pageMargins left="0.25" right="0.25" top="0.75" bottom="0.75" header="0.3" footer="0.3"/>
  <pageSetup paperSize="9" scale="5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view="pageBreakPreview" topLeftCell="A55" zoomScale="55" zoomScaleNormal="70" zoomScaleSheetLayoutView="55" workbookViewId="0">
      <selection activeCell="G55" sqref="G55"/>
    </sheetView>
  </sheetViews>
  <sheetFormatPr defaultRowHeight="17.399999999999999"/>
  <cols>
    <col min="1" max="1" width="3" customWidth="1"/>
    <col min="2" max="2" width="7" customWidth="1"/>
    <col min="3" max="3" width="9.19921875" customWidth="1"/>
    <col min="4" max="4" width="28.19921875" style="61" customWidth="1"/>
    <col min="5" max="6" width="20" style="61" customWidth="1"/>
    <col min="7" max="7" width="26.796875" style="61" customWidth="1"/>
    <col min="8" max="8" width="10.796875" style="307" customWidth="1"/>
    <col min="9" max="9" width="50.296875" style="61" bestFit="1" customWidth="1"/>
    <col min="10" max="10" width="2.796875" customWidth="1"/>
    <col min="11" max="11" width="4.09765625" style="29" customWidth="1"/>
    <col min="12" max="14" width="11.09765625" customWidth="1"/>
    <col min="15" max="15" width="13.19921875" customWidth="1"/>
  </cols>
  <sheetData>
    <row r="1" spans="1:15" s="172" customFormat="1" ht="60" customHeight="1">
      <c r="A1" s="1105" t="s">
        <v>94</v>
      </c>
      <c r="B1" s="1105"/>
      <c r="C1" s="1105"/>
      <c r="D1" s="1105"/>
      <c r="E1" s="1105"/>
      <c r="F1" s="1105"/>
      <c r="G1" s="1105"/>
      <c r="H1" s="1105"/>
      <c r="I1" s="1105"/>
      <c r="J1" s="1105"/>
      <c r="K1" s="173"/>
    </row>
    <row r="2" spans="1:15" s="172" customFormat="1" ht="67.5" customHeight="1" thickBot="1">
      <c r="A2" s="1106" t="s">
        <v>95</v>
      </c>
      <c r="B2" s="1106"/>
      <c r="C2" s="1106"/>
      <c r="D2" s="1106"/>
      <c r="E2" s="1106"/>
      <c r="F2" s="1106"/>
      <c r="G2" s="1106"/>
      <c r="H2" s="1106"/>
      <c r="I2" s="1106"/>
      <c r="J2" s="1106"/>
      <c r="K2" s="174"/>
    </row>
    <row r="3" spans="1:15" ht="41.25" customHeight="1" thickBot="1">
      <c r="A3" s="116"/>
      <c r="B3" s="175" t="s">
        <v>367</v>
      </c>
      <c r="C3" s="117"/>
      <c r="D3" s="118"/>
      <c r="E3" s="119"/>
      <c r="F3" s="119"/>
      <c r="G3" s="119"/>
      <c r="H3" s="299"/>
      <c r="I3" s="120"/>
      <c r="J3" s="121"/>
      <c r="K3" s="21"/>
    </row>
    <row r="4" spans="1:15" s="45" customFormat="1" ht="21.75" customHeight="1" thickBot="1">
      <c r="A4" s="88"/>
      <c r="B4" s="113"/>
      <c r="C4" s="46"/>
      <c r="D4" s="114"/>
      <c r="E4" s="62"/>
      <c r="F4" s="62"/>
      <c r="G4" s="62"/>
      <c r="H4" s="300"/>
      <c r="I4" s="115" t="s">
        <v>0</v>
      </c>
      <c r="J4" s="111"/>
      <c r="K4" s="51"/>
    </row>
    <row r="5" spans="1:15" ht="30" customHeight="1">
      <c r="A5" s="88"/>
      <c r="B5" s="1111" t="s">
        <v>122</v>
      </c>
      <c r="C5" s="1112"/>
      <c r="D5" s="275" t="s">
        <v>123</v>
      </c>
      <c r="E5" s="275" t="s">
        <v>5</v>
      </c>
      <c r="F5" s="275" t="s">
        <v>6</v>
      </c>
      <c r="G5" s="275" t="s">
        <v>7</v>
      </c>
      <c r="H5" s="301" t="s">
        <v>8</v>
      </c>
      <c r="I5" s="168" t="s">
        <v>9</v>
      </c>
      <c r="J5" s="111"/>
      <c r="K5" s="16"/>
      <c r="L5" s="1"/>
    </row>
    <row r="6" spans="1:15" ht="30" customHeight="1">
      <c r="A6" s="88"/>
      <c r="B6" s="1085" t="s">
        <v>158</v>
      </c>
      <c r="C6" s="1086"/>
      <c r="D6" s="176" t="s">
        <v>128</v>
      </c>
      <c r="E6" s="459"/>
      <c r="F6" s="488"/>
      <c r="G6" s="453">
        <f>'&lt;서식1&gt;사업개요'!M13</f>
        <v>0</v>
      </c>
      <c r="H6" s="489"/>
      <c r="I6" s="901" t="s">
        <v>341</v>
      </c>
      <c r="J6" s="111"/>
      <c r="K6" s="16"/>
      <c r="L6" s="1"/>
    </row>
    <row r="7" spans="1:15" s="45" customFormat="1" ht="30" customHeight="1">
      <c r="A7" s="88"/>
      <c r="B7" s="1109"/>
      <c r="C7" s="1110"/>
      <c r="D7" s="176" t="s">
        <v>183</v>
      </c>
      <c r="E7" s="490"/>
      <c r="F7" s="491"/>
      <c r="G7" s="453">
        <f>ROUNDUP((G6*E7),-3)</f>
        <v>0</v>
      </c>
      <c r="H7" s="492"/>
      <c r="I7" s="902" t="s">
        <v>342</v>
      </c>
      <c r="J7" s="111"/>
      <c r="K7" s="16"/>
      <c r="L7" s="1"/>
    </row>
    <row r="8" spans="1:15" ht="30" customHeight="1">
      <c r="A8" s="88"/>
      <c r="B8" s="1247" t="s">
        <v>159</v>
      </c>
      <c r="C8" s="1248"/>
      <c r="D8" s="1249" t="s">
        <v>160</v>
      </c>
      <c r="E8" s="1263" t="s">
        <v>390</v>
      </c>
      <c r="F8" s="924">
        <f>'&lt;서식1&gt;사업개요'!M8</f>
        <v>0</v>
      </c>
      <c r="G8" s="709">
        <f>ROUNDUP(F8*'&lt;서식5&gt;재원조달계획'!I20*2,-3)</f>
        <v>0</v>
      </c>
      <c r="H8" s="1264"/>
      <c r="I8" s="1265" t="s">
        <v>391</v>
      </c>
      <c r="J8" s="111"/>
      <c r="K8" s="23"/>
      <c r="L8" s="45"/>
      <c r="M8" s="45"/>
      <c r="N8" s="45"/>
      <c r="O8" s="45"/>
    </row>
    <row r="9" spans="1:15" ht="30" customHeight="1">
      <c r="A9" s="88"/>
      <c r="B9" s="1250"/>
      <c r="C9" s="1251"/>
      <c r="D9" s="1252" t="s">
        <v>157</v>
      </c>
      <c r="E9" s="1266" t="s">
        <v>389</v>
      </c>
      <c r="F9" s="924">
        <f>'&lt;서식1&gt;사업개요'!M8</f>
        <v>0</v>
      </c>
      <c r="G9" s="719">
        <f>ROUNDUP(F9*'&lt;서식5&gt;재원조달계획'!I20,-3)</f>
        <v>0</v>
      </c>
      <c r="H9" s="1267"/>
      <c r="I9" s="1268" t="s">
        <v>392</v>
      </c>
      <c r="J9" s="111"/>
      <c r="K9" s="17"/>
      <c r="L9" s="45"/>
      <c r="M9" s="45"/>
      <c r="O9" s="45"/>
    </row>
    <row r="10" spans="1:15" ht="30" customHeight="1" thickBot="1">
      <c r="A10" s="88"/>
      <c r="B10" s="1100" t="s">
        <v>364</v>
      </c>
      <c r="C10" s="1101"/>
      <c r="D10" s="1102"/>
      <c r="E10" s="493"/>
      <c r="F10" s="494"/>
      <c r="G10" s="494">
        <f>SUM(G6:G9)</f>
        <v>0</v>
      </c>
      <c r="H10" s="495" t="e">
        <f>G10/G$42</f>
        <v>#DIV/0!</v>
      </c>
      <c r="I10" s="904"/>
      <c r="J10" s="111"/>
      <c r="K10" s="18"/>
      <c r="L10" s="2"/>
    </row>
    <row r="11" spans="1:15" s="45" customFormat="1" ht="30" customHeight="1">
      <c r="A11" s="88"/>
      <c r="B11" s="1113" t="s">
        <v>3</v>
      </c>
      <c r="C11" s="1114"/>
      <c r="D11" s="191" t="s">
        <v>4</v>
      </c>
      <c r="E11" s="191" t="s">
        <v>124</v>
      </c>
      <c r="F11" s="191" t="s">
        <v>125</v>
      </c>
      <c r="G11" s="191" t="s">
        <v>126</v>
      </c>
      <c r="H11" s="302" t="s">
        <v>8</v>
      </c>
      <c r="I11" s="192" t="s">
        <v>127</v>
      </c>
      <c r="J11" s="111"/>
      <c r="K11" s="16"/>
      <c r="L11" s="1"/>
    </row>
    <row r="12" spans="1:15" s="45" customFormat="1" ht="30" customHeight="1">
      <c r="A12" s="88"/>
      <c r="B12" s="1121" t="s">
        <v>78</v>
      </c>
      <c r="C12" s="1122"/>
      <c r="D12" s="873" t="s">
        <v>332</v>
      </c>
      <c r="E12" s="874"/>
      <c r="F12" s="875"/>
      <c r="G12" s="875"/>
      <c r="H12" s="876"/>
      <c r="I12" s="905"/>
      <c r="J12" s="111"/>
      <c r="K12" s="16"/>
      <c r="L12" s="1"/>
    </row>
    <row r="13" spans="1:15" s="45" customFormat="1" ht="30" customHeight="1">
      <c r="A13" s="88"/>
      <c r="B13" s="1121"/>
      <c r="C13" s="1122"/>
      <c r="D13" s="881" t="s">
        <v>18</v>
      </c>
      <c r="E13" s="882">
        <f>'&lt;서식1&gt;사업개요'!D16</f>
        <v>0</v>
      </c>
      <c r="F13" s="883"/>
      <c r="G13" s="883">
        <f>ROUNDUP(E13*F13,-3)</f>
        <v>0</v>
      </c>
      <c r="H13" s="884"/>
      <c r="I13" s="906" t="s">
        <v>343</v>
      </c>
      <c r="J13" s="111"/>
      <c r="K13" s="16"/>
      <c r="L13" s="1"/>
    </row>
    <row r="14" spans="1:15" s="45" customFormat="1" ht="30" customHeight="1">
      <c r="A14" s="88"/>
      <c r="B14" s="1121"/>
      <c r="C14" s="1122"/>
      <c r="D14" s="177" t="s">
        <v>20</v>
      </c>
      <c r="E14" s="452">
        <f>'&lt;서식1&gt;사업개요'!G14-'&lt;서식1&gt;사업개요'!D14</f>
        <v>0</v>
      </c>
      <c r="F14" s="453"/>
      <c r="G14" s="453">
        <f>ROUNDUP(E14*F14,-3)</f>
        <v>0</v>
      </c>
      <c r="H14" s="454"/>
      <c r="I14" s="907" t="s">
        <v>344</v>
      </c>
      <c r="J14" s="111"/>
      <c r="K14" s="16"/>
      <c r="L14" s="1"/>
    </row>
    <row r="15" spans="1:15" s="45" customFormat="1" ht="30" customHeight="1">
      <c r="A15" s="88"/>
      <c r="B15" s="1121"/>
      <c r="C15" s="1122"/>
      <c r="D15" s="877" t="s">
        <v>333</v>
      </c>
      <c r="E15" s="878"/>
      <c r="F15" s="879"/>
      <c r="G15" s="879"/>
      <c r="H15" s="880"/>
      <c r="I15" s="908"/>
      <c r="J15" s="111"/>
      <c r="K15" s="16"/>
      <c r="L15" s="1"/>
    </row>
    <row r="16" spans="1:15" s="45" customFormat="1" ht="30" customHeight="1">
      <c r="A16" s="88"/>
      <c r="B16" s="1121"/>
      <c r="C16" s="1122"/>
      <c r="D16" s="877" t="s">
        <v>334</v>
      </c>
      <c r="E16" s="878"/>
      <c r="F16" s="879"/>
      <c r="G16" s="879"/>
      <c r="H16" s="880"/>
      <c r="I16" s="908"/>
      <c r="J16" s="111"/>
      <c r="K16" s="16"/>
      <c r="L16" s="1"/>
    </row>
    <row r="17" spans="1:15" ht="30" customHeight="1">
      <c r="A17" s="88"/>
      <c r="B17" s="1121"/>
      <c r="C17" s="1122"/>
      <c r="D17" s="877" t="s">
        <v>339</v>
      </c>
      <c r="E17" s="878"/>
      <c r="F17" s="879"/>
      <c r="G17" s="879"/>
      <c r="H17" s="880"/>
      <c r="I17" s="908"/>
      <c r="J17" s="111"/>
      <c r="K17" s="17"/>
    </row>
    <row r="18" spans="1:15" ht="30" customHeight="1">
      <c r="A18" s="88"/>
      <c r="B18" s="1123"/>
      <c r="C18" s="1117"/>
      <c r="D18" s="877" t="s">
        <v>335</v>
      </c>
      <c r="E18" s="878"/>
      <c r="F18" s="879"/>
      <c r="G18" s="879"/>
      <c r="H18" s="880"/>
      <c r="I18" s="908"/>
      <c r="J18" s="111"/>
      <c r="K18" s="17"/>
      <c r="L18" s="3"/>
    </row>
    <row r="19" spans="1:15" ht="30" customHeight="1">
      <c r="A19" s="88"/>
      <c r="B19" s="1085" t="s">
        <v>79</v>
      </c>
      <c r="C19" s="1086"/>
      <c r="D19" s="178" t="s">
        <v>184</v>
      </c>
      <c r="E19" s="455">
        <v>1</v>
      </c>
      <c r="F19" s="429"/>
      <c r="G19" s="429">
        <f t="shared" ref="G19:G21" si="0">ROUNDUP(E19*F19,-3)</f>
        <v>0</v>
      </c>
      <c r="H19" s="451"/>
      <c r="I19" s="909" t="s">
        <v>345</v>
      </c>
      <c r="J19" s="111"/>
      <c r="K19" s="18"/>
      <c r="L19" s="3"/>
    </row>
    <row r="20" spans="1:15" s="45" customFormat="1" ht="30" customHeight="1">
      <c r="A20" s="88"/>
      <c r="B20" s="1109"/>
      <c r="C20" s="1110"/>
      <c r="D20" s="280" t="s">
        <v>240</v>
      </c>
      <c r="E20" s="456">
        <v>1</v>
      </c>
      <c r="F20" s="457"/>
      <c r="G20" s="453">
        <f t="shared" si="0"/>
        <v>0</v>
      </c>
      <c r="H20" s="458"/>
      <c r="I20" s="910" t="s">
        <v>346</v>
      </c>
      <c r="J20" s="111"/>
      <c r="L20" s="281" t="s">
        <v>186</v>
      </c>
    </row>
    <row r="21" spans="1:15" ht="30" customHeight="1">
      <c r="A21" s="88"/>
      <c r="B21" s="1109"/>
      <c r="C21" s="1110"/>
      <c r="D21" s="177" t="s">
        <v>241</v>
      </c>
      <c r="E21" s="452">
        <v>271.38</v>
      </c>
      <c r="F21" s="453"/>
      <c r="G21" s="453">
        <f t="shared" si="0"/>
        <v>0</v>
      </c>
      <c r="H21" s="454"/>
      <c r="I21" s="911" t="s">
        <v>347</v>
      </c>
      <c r="J21" s="111"/>
      <c r="K21" s="283"/>
    </row>
    <row r="22" spans="1:15" ht="30" customHeight="1">
      <c r="A22" s="88"/>
      <c r="B22" s="1109"/>
      <c r="C22" s="1110"/>
      <c r="D22" s="177" t="s">
        <v>24</v>
      </c>
      <c r="E22" s="452">
        <f>'&lt;서식1&gt;사업개요'!D16</f>
        <v>0</v>
      </c>
      <c r="F22" s="453"/>
      <c r="G22" s="453">
        <f>ROUNDUP((E22*F22),-3)</f>
        <v>0</v>
      </c>
      <c r="H22" s="454"/>
      <c r="I22" s="911" t="s">
        <v>348</v>
      </c>
      <c r="J22" s="111"/>
      <c r="K22" s="284"/>
      <c r="L22" s="282"/>
      <c r="M22" s="282"/>
      <c r="N22" s="282"/>
      <c r="O22" s="106"/>
    </row>
    <row r="23" spans="1:15" ht="30" customHeight="1">
      <c r="A23" s="88"/>
      <c r="B23" s="1109"/>
      <c r="C23" s="1110"/>
      <c r="D23" s="177" t="s">
        <v>28</v>
      </c>
      <c r="E23" s="452">
        <f>'&lt;서식1&gt;사업개요'!D16</f>
        <v>0</v>
      </c>
      <c r="F23" s="459"/>
      <c r="G23" s="453">
        <f>ROUNDUP((E23*F23),-3)</f>
        <v>0</v>
      </c>
      <c r="H23" s="454"/>
      <c r="I23" s="911" t="s">
        <v>348</v>
      </c>
      <c r="J23" s="111"/>
      <c r="K23" s="285"/>
      <c r="L23" s="52"/>
      <c r="M23" s="52"/>
      <c r="N23" s="52"/>
      <c r="O23" s="106"/>
    </row>
    <row r="24" spans="1:15" s="45" customFormat="1" ht="30" customHeight="1">
      <c r="A24" s="88"/>
      <c r="B24" s="1109"/>
      <c r="C24" s="1110"/>
      <c r="D24" s="177" t="s">
        <v>336</v>
      </c>
      <c r="E24" s="456">
        <v>1</v>
      </c>
      <c r="F24" s="453"/>
      <c r="G24" s="453">
        <f>ROUNDUP(E24*F24,-3)</f>
        <v>0</v>
      </c>
      <c r="H24" s="454"/>
      <c r="I24" s="907" t="s">
        <v>349</v>
      </c>
      <c r="J24" s="111"/>
      <c r="K24" s="285"/>
      <c r="L24" s="885" t="s">
        <v>238</v>
      </c>
      <c r="M24" s="52"/>
      <c r="N24" s="52"/>
      <c r="O24" s="106"/>
    </row>
    <row r="25" spans="1:15" s="45" customFormat="1" ht="30" customHeight="1">
      <c r="A25" s="88"/>
      <c r="B25" s="1109"/>
      <c r="C25" s="1110"/>
      <c r="D25" s="177" t="s">
        <v>337</v>
      </c>
      <c r="E25" s="456">
        <v>1</v>
      </c>
      <c r="F25" s="453"/>
      <c r="G25" s="453">
        <f>ROUNDUP(E25*F25,-3)</f>
        <v>0</v>
      </c>
      <c r="H25" s="454"/>
      <c r="I25" s="907" t="s">
        <v>350</v>
      </c>
      <c r="J25" s="111"/>
      <c r="K25" s="285"/>
      <c r="L25" s="281" t="s">
        <v>239</v>
      </c>
      <c r="M25" s="52"/>
      <c r="N25" s="52"/>
      <c r="O25" s="106"/>
    </row>
    <row r="26" spans="1:15" s="45" customFormat="1" ht="30" customHeight="1">
      <c r="A26" s="88"/>
      <c r="B26" s="1109"/>
      <c r="C26" s="1110"/>
      <c r="D26" s="886" t="s">
        <v>338</v>
      </c>
      <c r="E26" s="887"/>
      <c r="F26" s="888"/>
      <c r="G26" s="888"/>
      <c r="H26" s="889"/>
      <c r="I26" s="912"/>
      <c r="J26" s="111"/>
      <c r="K26" s="285"/>
      <c r="L26" s="281"/>
      <c r="M26" s="52"/>
      <c r="N26" s="52"/>
      <c r="O26" s="106"/>
    </row>
    <row r="27" spans="1:15" s="45" customFormat="1" ht="30" customHeight="1">
      <c r="A27" s="88"/>
      <c r="B27" s="1109"/>
      <c r="C27" s="1110"/>
      <c r="D27" s="291" t="s">
        <v>185</v>
      </c>
      <c r="E27" s="435">
        <v>0.01</v>
      </c>
      <c r="F27" s="436">
        <f>G13</f>
        <v>0</v>
      </c>
      <c r="G27" s="436">
        <f>ROUNDUP(E27*F27,-3)</f>
        <v>0</v>
      </c>
      <c r="H27" s="460"/>
      <c r="I27" s="913" t="s">
        <v>351</v>
      </c>
      <c r="J27" s="111"/>
      <c r="K27" s="285"/>
      <c r="L27" s="52"/>
      <c r="M27" s="52"/>
      <c r="N27" s="52"/>
    </row>
    <row r="28" spans="1:15" ht="30" customHeight="1">
      <c r="A28" s="88"/>
      <c r="B28" s="1115" t="s">
        <v>365</v>
      </c>
      <c r="C28" s="1116"/>
      <c r="D28" s="1117"/>
      <c r="E28" s="461" t="e">
        <f>F44</f>
        <v>#DIV/0!</v>
      </c>
      <c r="F28" s="462">
        <f>G28/214</f>
        <v>0</v>
      </c>
      <c r="G28" s="462">
        <f>SUM(G13:G27)</f>
        <v>0</v>
      </c>
      <c r="H28" s="463" t="e">
        <f>G28/G42</f>
        <v>#DIV/0!</v>
      </c>
      <c r="I28" s="914"/>
      <c r="J28" s="111"/>
      <c r="K28" s="286"/>
    </row>
    <row r="29" spans="1:15" ht="30" customHeight="1">
      <c r="A29" s="88"/>
      <c r="B29" s="1085" t="s">
        <v>33</v>
      </c>
      <c r="C29" s="1086"/>
      <c r="D29" s="178" t="s">
        <v>34</v>
      </c>
      <c r="E29" s="464">
        <v>4</v>
      </c>
      <c r="F29" s="465">
        <v>500000</v>
      </c>
      <c r="G29" s="429">
        <f t="shared" ref="G29:G30" si="1">ROUNDUP((E29*F29),-3)</f>
        <v>2000000</v>
      </c>
      <c r="H29" s="451"/>
      <c r="I29" s="915" t="s">
        <v>352</v>
      </c>
      <c r="J29" s="111"/>
      <c r="K29" s="20"/>
      <c r="L29" s="4"/>
    </row>
    <row r="30" spans="1:15" ht="30" customHeight="1">
      <c r="A30" s="88"/>
      <c r="B30" s="1109"/>
      <c r="C30" s="1110"/>
      <c r="D30" s="177" t="s">
        <v>260</v>
      </c>
      <c r="E30" s="456">
        <v>1</v>
      </c>
      <c r="F30" s="459">
        <v>3000000</v>
      </c>
      <c r="G30" s="453">
        <f t="shared" si="1"/>
        <v>3000000</v>
      </c>
      <c r="H30" s="454"/>
      <c r="I30" s="916" t="s">
        <v>353</v>
      </c>
      <c r="J30" s="111"/>
      <c r="K30" s="24"/>
      <c r="L30" s="5"/>
    </row>
    <row r="31" spans="1:15" ht="30" customHeight="1">
      <c r="A31" s="88"/>
      <c r="B31" s="1087"/>
      <c r="C31" s="1088"/>
      <c r="D31" s="273" t="s">
        <v>35</v>
      </c>
      <c r="E31" s="466"/>
      <c r="F31" s="467"/>
      <c r="G31" s="467">
        <f>SUM(G29:G30)</f>
        <v>5000000</v>
      </c>
      <c r="H31" s="468" t="e">
        <f>G31/G42</f>
        <v>#DIV/0!</v>
      </c>
      <c r="I31" s="903"/>
      <c r="J31" s="111"/>
      <c r="K31" s="19"/>
      <c r="L31" s="4"/>
    </row>
    <row r="32" spans="1:15" ht="30" customHeight="1">
      <c r="A32" s="88"/>
      <c r="B32" s="1085" t="s">
        <v>361</v>
      </c>
      <c r="C32" s="1086"/>
      <c r="D32" s="178" t="s">
        <v>37</v>
      </c>
      <c r="E32" s="469">
        <v>0.01</v>
      </c>
      <c r="F32" s="429">
        <f>G28</f>
        <v>0</v>
      </c>
      <c r="G32" s="429">
        <f t="shared" ref="G32:G40" si="2">ROUNDUP((E32*F32),-3)</f>
        <v>0</v>
      </c>
      <c r="H32" s="451"/>
      <c r="I32" s="907" t="s">
        <v>354</v>
      </c>
      <c r="J32" s="111"/>
      <c r="K32" s="19"/>
    </row>
    <row r="33" spans="1:13" ht="30" customHeight="1">
      <c r="A33" s="88"/>
      <c r="B33" s="1109"/>
      <c r="C33" s="1110"/>
      <c r="D33" s="177" t="s">
        <v>38</v>
      </c>
      <c r="E33" s="470">
        <v>12</v>
      </c>
      <c r="F33" s="453">
        <v>2500000</v>
      </c>
      <c r="G33" s="453">
        <f t="shared" si="2"/>
        <v>30000000</v>
      </c>
      <c r="H33" s="454"/>
      <c r="I33" s="900" t="s">
        <v>355</v>
      </c>
      <c r="J33" s="111"/>
      <c r="K33" s="19"/>
      <c r="L33" s="288"/>
      <c r="M33" s="106"/>
    </row>
    <row r="34" spans="1:13" ht="30" customHeight="1">
      <c r="A34" s="88"/>
      <c r="B34" s="1109"/>
      <c r="C34" s="1110"/>
      <c r="D34" s="388" t="s">
        <v>235</v>
      </c>
      <c r="E34" s="456">
        <v>1</v>
      </c>
      <c r="F34" s="453">
        <v>200000</v>
      </c>
      <c r="G34" s="453">
        <f t="shared" si="2"/>
        <v>200000</v>
      </c>
      <c r="H34" s="454"/>
      <c r="I34" s="917" t="s">
        <v>356</v>
      </c>
      <c r="J34" s="389"/>
      <c r="K34" s="287"/>
      <c r="L34" s="106"/>
      <c r="M34" s="289"/>
    </row>
    <row r="35" spans="1:13" ht="41.25" customHeight="1">
      <c r="A35" s="88"/>
      <c r="B35" s="1109"/>
      <c r="C35" s="1110"/>
      <c r="D35" s="177" t="s">
        <v>40</v>
      </c>
      <c r="E35" s="471">
        <v>4.8000000000000001E-2</v>
      </c>
      <c r="F35" s="453" t="e">
        <f>ROUNDUP('&lt;서식2&gt;면적표'!K19*17000+'&lt;서식2&gt;면적표'!K9*1300,-5)</f>
        <v>#DIV/0!</v>
      </c>
      <c r="G35" s="453" t="e">
        <f t="shared" si="2"/>
        <v>#DIV/0!</v>
      </c>
      <c r="H35" s="454"/>
      <c r="I35" s="900" t="s">
        <v>357</v>
      </c>
      <c r="J35" s="111"/>
      <c r="K35" s="25"/>
      <c r="L35" s="281" t="s">
        <v>243</v>
      </c>
      <c r="M35" s="106"/>
    </row>
    <row r="36" spans="1:13" s="45" customFormat="1" ht="41.25" customHeight="1">
      <c r="A36" s="88"/>
      <c r="B36" s="1109"/>
      <c r="C36" s="1110"/>
      <c r="D36" s="179" t="s">
        <v>236</v>
      </c>
      <c r="E36" s="472">
        <f>(2.96%+0.2%)</f>
        <v>3.1600000000000003E-2</v>
      </c>
      <c r="F36" s="453" t="e">
        <f>(G13+G14+G22+G23)*'&lt;서식2&gt;면적표'!K19/'&lt;서식2&gt;면적표'!K20</f>
        <v>#DIV/0!</v>
      </c>
      <c r="G36" s="453" t="e">
        <f>ROUNDUP((E36*F36),-3)</f>
        <v>#DIV/0!</v>
      </c>
      <c r="H36" s="454"/>
      <c r="I36" s="900" t="s">
        <v>340</v>
      </c>
      <c r="J36" s="111"/>
      <c r="K36" s="25"/>
      <c r="L36" s="290"/>
      <c r="M36" s="106"/>
    </row>
    <row r="37" spans="1:13" s="45" customFormat="1" ht="41.25" customHeight="1">
      <c r="A37" s="88"/>
      <c r="B37" s="1109"/>
      <c r="C37" s="1110"/>
      <c r="D37" s="179" t="s">
        <v>237</v>
      </c>
      <c r="E37" s="472">
        <f>(2.8+(2.8-2)*2+0.8*3)%</f>
        <v>6.8000000000000005E-2</v>
      </c>
      <c r="F37" s="453" t="e">
        <f>(G13+G14+G22+G23)*'&lt;서식2&gt;면적표'!K9/'&lt;서식2&gt;면적표'!K20</f>
        <v>#DIV/0!</v>
      </c>
      <c r="G37" s="453" t="e">
        <f>ROUNDUP((E37*F37),-3)</f>
        <v>#DIV/0!</v>
      </c>
      <c r="H37" s="454"/>
      <c r="I37" s="900" t="s">
        <v>358</v>
      </c>
      <c r="J37" s="111"/>
      <c r="K37" s="25"/>
      <c r="L37" s="290"/>
      <c r="M37" s="106"/>
    </row>
    <row r="38" spans="1:13" s="45" customFormat="1" ht="30" customHeight="1">
      <c r="A38" s="88"/>
      <c r="B38" s="1109"/>
      <c r="C38" s="1110"/>
      <c r="D38" s="179" t="s">
        <v>242</v>
      </c>
      <c r="E38" s="472">
        <v>1.2999999999999999E-2</v>
      </c>
      <c r="F38" s="453">
        <f>G28</f>
        <v>0</v>
      </c>
      <c r="G38" s="453">
        <f>ROUNDUP((E38*F38),-3)</f>
        <v>0</v>
      </c>
      <c r="H38" s="454"/>
      <c r="I38" s="900"/>
      <c r="J38" s="111"/>
      <c r="K38" s="25"/>
      <c r="L38" s="290"/>
      <c r="M38" s="106"/>
    </row>
    <row r="39" spans="1:13" s="45" customFormat="1" ht="30" customHeight="1">
      <c r="A39" s="88"/>
      <c r="B39" s="1109"/>
      <c r="C39" s="1110"/>
      <c r="D39" s="179" t="s">
        <v>360</v>
      </c>
      <c r="E39" s="472">
        <v>1E-3</v>
      </c>
      <c r="F39" s="453"/>
      <c r="G39" s="453"/>
      <c r="H39" s="454"/>
      <c r="I39" s="900"/>
      <c r="J39" s="111"/>
      <c r="K39" s="25"/>
      <c r="L39" s="290"/>
      <c r="M39" s="106"/>
    </row>
    <row r="40" spans="1:13" s="45" customFormat="1" ht="30" customHeight="1">
      <c r="A40" s="88"/>
      <c r="B40" s="1109"/>
      <c r="C40" s="1110"/>
      <c r="D40" s="177" t="s">
        <v>192</v>
      </c>
      <c r="E40" s="473">
        <v>0.02</v>
      </c>
      <c r="F40" s="453">
        <f>G28</f>
        <v>0</v>
      </c>
      <c r="G40" s="453">
        <f t="shared" si="2"/>
        <v>0</v>
      </c>
      <c r="H40" s="454"/>
      <c r="I40" s="907" t="s">
        <v>359</v>
      </c>
      <c r="J40" s="111"/>
      <c r="K40" s="25"/>
      <c r="L40" s="290"/>
      <c r="M40" s="106"/>
    </row>
    <row r="41" spans="1:13" ht="30" customHeight="1">
      <c r="A41" s="88"/>
      <c r="B41" s="1087"/>
      <c r="C41" s="1088"/>
      <c r="D41" s="273" t="s">
        <v>35</v>
      </c>
      <c r="E41" s="466"/>
      <c r="F41" s="467"/>
      <c r="G41" s="467" t="e">
        <f>SUM(G32:G40)</f>
        <v>#DIV/0!</v>
      </c>
      <c r="H41" s="468" t="e">
        <f>G41/G42</f>
        <v>#DIV/0!</v>
      </c>
      <c r="I41" s="918"/>
      <c r="J41" s="111"/>
      <c r="K41" s="26"/>
      <c r="L41" s="288"/>
      <c r="M41" s="106"/>
    </row>
    <row r="42" spans="1:13" s="45" customFormat="1" ht="30" customHeight="1" thickBot="1">
      <c r="A42" s="88"/>
      <c r="B42" s="1118" t="s">
        <v>368</v>
      </c>
      <c r="C42" s="1119"/>
      <c r="D42" s="1120"/>
      <c r="E42" s="1096" t="s">
        <v>370</v>
      </c>
      <c r="F42" s="1097"/>
      <c r="G42" s="474" t="e">
        <f>ROUNDUP((G28+G31+G41+G10),-5)</f>
        <v>#DIV/0!</v>
      </c>
      <c r="H42" s="475" t="e">
        <f>H28+H31+H41+H10</f>
        <v>#DIV/0!</v>
      </c>
      <c r="I42" s="919"/>
      <c r="J42" s="111"/>
      <c r="K42" s="26"/>
      <c r="L42" s="288"/>
      <c r="M42" s="106"/>
    </row>
    <row r="43" spans="1:13" ht="30" customHeight="1">
      <c r="A43" s="88"/>
      <c r="B43" s="1125" t="s">
        <v>9</v>
      </c>
      <c r="C43" s="1126"/>
      <c r="D43" s="425" t="s">
        <v>43</v>
      </c>
      <c r="E43" s="476">
        <f>'&lt;서식1&gt;사업개요'!D19</f>
        <v>0</v>
      </c>
      <c r="F43" s="477"/>
      <c r="G43" s="478" t="e">
        <f>ROUND((G42/'&lt;서식2&gt;면적표'!E36),-4)</f>
        <v>#DIV/0!</v>
      </c>
      <c r="H43" s="479"/>
      <c r="I43" s="920"/>
      <c r="J43" s="111"/>
      <c r="K43" s="27"/>
      <c r="L43" s="4"/>
    </row>
    <row r="44" spans="1:13" ht="30" customHeight="1">
      <c r="A44" s="88"/>
      <c r="B44" s="1127"/>
      <c r="C44" s="1128"/>
      <c r="D44" s="176" t="s">
        <v>71</v>
      </c>
      <c r="E44" s="480" t="e">
        <f>'&lt;서식2&gt;면적표'!K20</f>
        <v>#DIV/0!</v>
      </c>
      <c r="F44" s="481" t="e">
        <f>ROUNDDOWN((E44/3.30578),0)</f>
        <v>#DIV/0!</v>
      </c>
      <c r="G44" s="482" t="e">
        <f>ROUND((G42/E44)*3.30578,-3)</f>
        <v>#DIV/0!</v>
      </c>
      <c r="H44" s="483"/>
      <c r="I44" s="921"/>
      <c r="J44" s="111"/>
      <c r="K44" s="27"/>
    </row>
    <row r="45" spans="1:13" ht="30" customHeight="1">
      <c r="A45" s="88"/>
      <c r="B45" s="1127"/>
      <c r="C45" s="1128"/>
      <c r="D45" s="176" t="s">
        <v>72</v>
      </c>
      <c r="E45" s="480" t="e">
        <f>'&lt;서식2&gt;면적표'!O20</f>
        <v>#DIV/0!</v>
      </c>
      <c r="F45" s="481" t="e">
        <f>ROUNDDOWN((E45/3.30578),0)</f>
        <v>#DIV/0!</v>
      </c>
      <c r="G45" s="482" t="e">
        <f>ROUND((G42/E45)*3.30578,-3)</f>
        <v>#DIV/0!</v>
      </c>
      <c r="H45" s="483"/>
      <c r="I45" s="921"/>
      <c r="J45" s="111"/>
      <c r="K45" s="27"/>
    </row>
    <row r="46" spans="1:13" ht="30" customHeight="1" thickBot="1">
      <c r="A46" s="88"/>
      <c r="B46" s="1129"/>
      <c r="C46" s="1130"/>
      <c r="D46" s="426" t="s">
        <v>73</v>
      </c>
      <c r="E46" s="484">
        <f>'&lt;서식2&gt;면적표'!N36</f>
        <v>0</v>
      </c>
      <c r="F46" s="485">
        <f>ROUNDDOWN((E46/3.30578),0)</f>
        <v>0</v>
      </c>
      <c r="G46" s="486" t="e">
        <f>ROUND((G42/E46)*3.30578,-3)</f>
        <v>#DIV/0!</v>
      </c>
      <c r="H46" s="487"/>
      <c r="I46" s="922"/>
      <c r="J46" s="111"/>
      <c r="K46" s="27"/>
    </row>
    <row r="47" spans="1:13" s="45" customFormat="1" ht="30" customHeight="1">
      <c r="A47" s="88"/>
      <c r="B47" s="1085" t="s">
        <v>362</v>
      </c>
      <c r="C47" s="1086"/>
      <c r="D47" s="178" t="s">
        <v>363</v>
      </c>
      <c r="E47" s="469">
        <v>0.02</v>
      </c>
      <c r="F47" s="429">
        <f>'&lt;서식5&gt;재원조달계획'!F7*'&lt;서식3&gt;초기사업비 산정'!E47</f>
        <v>23940000</v>
      </c>
      <c r="G47" s="429">
        <f>F47</f>
        <v>23940000</v>
      </c>
      <c r="H47" s="451"/>
      <c r="I47" s="907" t="s">
        <v>366</v>
      </c>
      <c r="J47" s="111"/>
      <c r="K47" s="26"/>
      <c r="L47" s="288"/>
      <c r="M47" s="106"/>
    </row>
    <row r="48" spans="1:13" s="45" customFormat="1" ht="30" customHeight="1">
      <c r="A48" s="88"/>
      <c r="B48" s="1087"/>
      <c r="C48" s="1088"/>
      <c r="D48" s="273"/>
      <c r="E48" s="466"/>
      <c r="F48" s="467"/>
      <c r="G48" s="467">
        <f>G47</f>
        <v>23940000</v>
      </c>
      <c r="H48" s="468"/>
      <c r="I48" s="918"/>
      <c r="J48" s="111"/>
      <c r="K48" s="26"/>
      <c r="L48" s="288"/>
      <c r="M48" s="106"/>
    </row>
    <row r="49" spans="1:14" s="45" customFormat="1" ht="61.5" customHeight="1">
      <c r="A49" s="88"/>
      <c r="B49" s="1089" t="s">
        <v>47</v>
      </c>
      <c r="C49" s="1090"/>
      <c r="D49" s="294" t="s">
        <v>198</v>
      </c>
      <c r="E49" s="1131" t="s">
        <v>371</v>
      </c>
      <c r="F49" s="1131"/>
      <c r="G49" s="441">
        <f>(60000+(120000000*0.6-60000000)*1.5/1000)*4+(60000+(160000000*0.6-60000000)*1.5/1000)*7+(195000+(160000000*0.6-150000000)*2.5/1000)*0</f>
        <v>1110000</v>
      </c>
      <c r="H49" s="430">
        <f>G49/$G$52</f>
        <v>0.41479820627802688</v>
      </c>
      <c r="I49" s="404" t="s">
        <v>251</v>
      </c>
      <c r="J49" s="111"/>
      <c r="K49" s="26"/>
      <c r="L49" s="288"/>
      <c r="M49" s="106"/>
    </row>
    <row r="50" spans="1:14" s="45" customFormat="1" ht="30" customHeight="1">
      <c r="A50" s="88"/>
      <c r="B50" s="1091"/>
      <c r="C50" s="1092"/>
      <c r="D50" s="295" t="s">
        <v>199</v>
      </c>
      <c r="E50" s="442">
        <v>0.2</v>
      </c>
      <c r="F50" s="432">
        <f>G49</f>
        <v>1110000</v>
      </c>
      <c r="G50" s="443">
        <f>G49*0.2</f>
        <v>222000</v>
      </c>
      <c r="H50" s="434">
        <f>G50/$G$52</f>
        <v>8.2959641255605385E-2</v>
      </c>
      <c r="I50" s="405" t="s">
        <v>252</v>
      </c>
      <c r="J50" s="111"/>
      <c r="K50" s="26"/>
      <c r="L50" s="288"/>
      <c r="M50" s="106"/>
    </row>
    <row r="51" spans="1:14" s="45" customFormat="1" ht="30" customHeight="1">
      <c r="A51" s="88"/>
      <c r="B51" s="1091"/>
      <c r="C51" s="1092"/>
      <c r="D51" s="297" t="s">
        <v>200</v>
      </c>
      <c r="E51" s="444" t="s">
        <v>259</v>
      </c>
      <c r="F51" s="445"/>
      <c r="G51" s="446">
        <f>(120000000*0.6)*1.4/1000*4+(160000000*0.6)*1.4/1000*7</f>
        <v>1344000</v>
      </c>
      <c r="H51" s="438">
        <f>G51/$G$52</f>
        <v>0.50224215246636772</v>
      </c>
      <c r="I51" s="402" t="s">
        <v>253</v>
      </c>
      <c r="J51" s="111"/>
      <c r="K51" s="26"/>
      <c r="L51" s="288"/>
      <c r="M51" s="106"/>
    </row>
    <row r="52" spans="1:14" s="45" customFormat="1" ht="30" customHeight="1" thickBot="1">
      <c r="A52" s="88"/>
      <c r="B52" s="1093"/>
      <c r="C52" s="1094"/>
      <c r="D52" s="298" t="s">
        <v>197</v>
      </c>
      <c r="E52" s="447"/>
      <c r="F52" s="448"/>
      <c r="G52" s="449">
        <f>SUM(G49:G51)</f>
        <v>2676000</v>
      </c>
      <c r="H52" s="450">
        <f>G52/$G$52</f>
        <v>1</v>
      </c>
      <c r="I52" s="406"/>
      <c r="J52" s="111"/>
      <c r="K52" s="26"/>
      <c r="L52" s="288"/>
      <c r="M52" s="106"/>
    </row>
    <row r="53" spans="1:14" s="45" customFormat="1" ht="30" customHeight="1" thickBot="1">
      <c r="A53" s="88"/>
      <c r="B53" s="1132" t="s">
        <v>105</v>
      </c>
      <c r="C53" s="1133"/>
      <c r="D53" s="1134"/>
      <c r="E53" s="1107" t="s">
        <v>369</v>
      </c>
      <c r="F53" s="1108"/>
      <c r="G53" s="474" t="e">
        <f>G10+G42+G52</f>
        <v>#DIV/0!</v>
      </c>
      <c r="H53" s="475"/>
      <c r="I53" s="923"/>
      <c r="J53" s="111"/>
      <c r="K53" s="27"/>
    </row>
    <row r="54" spans="1:14" s="45" customFormat="1" ht="20.25" customHeight="1" thickBot="1">
      <c r="A54" s="101"/>
      <c r="B54" s="122"/>
      <c r="C54" s="122"/>
      <c r="D54" s="123"/>
      <c r="E54" s="124"/>
      <c r="F54" s="170"/>
      <c r="G54" s="125"/>
      <c r="H54" s="303"/>
      <c r="I54" s="126"/>
      <c r="J54" s="112"/>
      <c r="K54" s="27"/>
    </row>
    <row r="55" spans="1:14" s="45" customFormat="1" ht="20.25" customHeight="1">
      <c r="A55" s="132"/>
      <c r="B55" s="407"/>
      <c r="C55" s="407"/>
      <c r="D55" s="408"/>
      <c r="E55" s="409"/>
      <c r="F55" s="410"/>
      <c r="G55" s="865"/>
      <c r="H55" s="411"/>
      <c r="I55" s="412"/>
      <c r="J55" s="132"/>
      <c r="K55" s="27"/>
    </row>
    <row r="56" spans="1:14" s="106" customFormat="1" ht="20.25" customHeight="1">
      <c r="B56" s="413"/>
      <c r="C56" s="413"/>
      <c r="D56" s="414"/>
      <c r="E56" s="415"/>
      <c r="F56" s="198"/>
      <c r="G56" s="416"/>
      <c r="H56" s="417"/>
      <c r="I56" s="418"/>
      <c r="K56" s="27"/>
    </row>
    <row r="57" spans="1:14" s="106" customFormat="1" ht="20.25" customHeight="1" thickBot="1">
      <c r="A57" s="22"/>
      <c r="B57" s="122"/>
      <c r="C57" s="122"/>
      <c r="D57" s="123"/>
      <c r="E57" s="124"/>
      <c r="F57" s="198"/>
      <c r="G57" s="125"/>
      <c r="H57" s="303"/>
      <c r="I57" s="126"/>
      <c r="J57" s="22"/>
      <c r="K57" s="27"/>
    </row>
    <row r="58" spans="1:14" ht="41.25" customHeight="1" thickBot="1">
      <c r="A58" s="127"/>
      <c r="B58" s="175" t="s">
        <v>372</v>
      </c>
      <c r="C58" s="128"/>
      <c r="D58" s="118"/>
      <c r="E58" s="118"/>
      <c r="F58" s="118"/>
      <c r="G58" s="118"/>
      <c r="H58" s="304"/>
      <c r="I58" s="118"/>
      <c r="J58" s="129"/>
      <c r="K58" s="27"/>
    </row>
    <row r="59" spans="1:14" s="45" customFormat="1" ht="21" customHeight="1" thickBot="1">
      <c r="A59" s="130"/>
      <c r="B59" s="131"/>
      <c r="C59" s="132"/>
      <c r="D59" s="133"/>
      <c r="E59" s="133"/>
      <c r="F59" s="133"/>
      <c r="G59" s="133"/>
      <c r="H59" s="305"/>
      <c r="I59" s="156" t="s">
        <v>0</v>
      </c>
      <c r="J59" s="134"/>
      <c r="K59" s="27"/>
    </row>
    <row r="60" spans="1:14" s="53" customFormat="1" ht="30" customHeight="1">
      <c r="A60" s="135"/>
      <c r="B60" s="1111" t="s">
        <v>3</v>
      </c>
      <c r="C60" s="1112"/>
      <c r="D60" s="275" t="s">
        <v>4</v>
      </c>
      <c r="E60" s="191" t="s">
        <v>5</v>
      </c>
      <c r="F60" s="191" t="s">
        <v>6</v>
      </c>
      <c r="G60" s="275" t="s">
        <v>45</v>
      </c>
      <c r="H60" s="301" t="s">
        <v>8</v>
      </c>
      <c r="I60" s="168" t="s">
        <v>9</v>
      </c>
      <c r="J60" s="136"/>
      <c r="K60" s="54"/>
    </row>
    <row r="61" spans="1:14" s="53" customFormat="1" ht="30" customHeight="1">
      <c r="A61" s="135"/>
      <c r="B61" s="1135" t="s">
        <v>165</v>
      </c>
      <c r="C61" s="1136"/>
      <c r="D61" s="293" t="s">
        <v>194</v>
      </c>
      <c r="E61" s="427">
        <v>5.0000000000000001E-3</v>
      </c>
      <c r="F61" s="428">
        <f>G28</f>
        <v>0</v>
      </c>
      <c r="G61" s="429">
        <f>ROUNDUP((F61*E61),-3)</f>
        <v>0</v>
      </c>
      <c r="H61" s="430" t="e">
        <f t="shared" ref="H61:H62" si="3">G61/$G$64</f>
        <v>#DIV/0!</v>
      </c>
      <c r="I61" s="401" t="s">
        <v>248</v>
      </c>
      <c r="J61" s="136"/>
    </row>
    <row r="62" spans="1:14" s="53" customFormat="1" ht="30" customHeight="1">
      <c r="A62" s="135"/>
      <c r="B62" s="1098"/>
      <c r="C62" s="1099"/>
      <c r="D62" s="294" t="s">
        <v>195</v>
      </c>
      <c r="E62" s="431">
        <v>2E-3</v>
      </c>
      <c r="F62" s="432">
        <f>G28</f>
        <v>0</v>
      </c>
      <c r="G62" s="433">
        <f>ROUNDUP((F62*E62),-3)</f>
        <v>0</v>
      </c>
      <c r="H62" s="434" t="e">
        <f t="shared" si="3"/>
        <v>#DIV/0!</v>
      </c>
      <c r="I62" s="401" t="s">
        <v>249</v>
      </c>
      <c r="J62" s="136"/>
      <c r="L62" s="55"/>
      <c r="M62" s="55"/>
      <c r="N62" s="55"/>
    </row>
    <row r="63" spans="1:14" s="53" customFormat="1" ht="30" customHeight="1">
      <c r="A63" s="135"/>
      <c r="B63" s="1098"/>
      <c r="C63" s="1099"/>
      <c r="D63" s="297" t="s">
        <v>196</v>
      </c>
      <c r="E63" s="538">
        <v>1.0999999999999999E-2</v>
      </c>
      <c r="F63" s="436" t="e">
        <f>'&lt;서식4&gt;임대료 산출'!J22</f>
        <v>#DIV/0!</v>
      </c>
      <c r="G63" s="437" t="e">
        <f>ROUNDUP((F63*E63),-3)</f>
        <v>#DIV/0!</v>
      </c>
      <c r="H63" s="438" t="e">
        <f>G63/$G$64</f>
        <v>#DIV/0!</v>
      </c>
      <c r="I63" s="402" t="s">
        <v>285</v>
      </c>
      <c r="J63" s="136"/>
      <c r="K63" s="56"/>
      <c r="L63" s="537" t="e">
        <f>G63/12</f>
        <v>#DIV/0!</v>
      </c>
      <c r="M63" s="55"/>
    </row>
    <row r="64" spans="1:14" s="53" customFormat="1" ht="30" customHeight="1">
      <c r="A64" s="135"/>
      <c r="B64" s="1137"/>
      <c r="C64" s="1138"/>
      <c r="D64" s="296" t="s">
        <v>197</v>
      </c>
      <c r="E64" s="1103"/>
      <c r="F64" s="1104"/>
      <c r="G64" s="439" t="e">
        <f>SUM(G61:G63)</f>
        <v>#DIV/0!</v>
      </c>
      <c r="H64" s="440" t="e">
        <f>G64/$G$64</f>
        <v>#DIV/0!</v>
      </c>
      <c r="I64" s="403" t="s">
        <v>250</v>
      </c>
      <c r="J64" s="136"/>
      <c r="K64" s="56"/>
      <c r="L64" s="55"/>
      <c r="M64" s="55"/>
    </row>
    <row r="65" spans="1:15" s="53" customFormat="1" ht="65.25" customHeight="1">
      <c r="A65" s="135"/>
      <c r="B65" s="1089" t="s">
        <v>47</v>
      </c>
      <c r="C65" s="1090"/>
      <c r="D65" s="294" t="s">
        <v>198</v>
      </c>
      <c r="E65" s="1095" t="s">
        <v>258</v>
      </c>
      <c r="F65" s="1095"/>
      <c r="G65" s="441"/>
      <c r="H65" s="430" t="e">
        <f>G65/$G$68</f>
        <v>#DIV/0!</v>
      </c>
      <c r="I65" s="404" t="s">
        <v>251</v>
      </c>
      <c r="J65" s="157"/>
      <c r="K65" s="55"/>
      <c r="L65" s="419" t="s">
        <v>232</v>
      </c>
      <c r="M65" s="55"/>
      <c r="O65" s="57"/>
    </row>
    <row r="66" spans="1:15" s="53" customFormat="1" ht="30" customHeight="1">
      <c r="A66" s="135"/>
      <c r="B66" s="1091"/>
      <c r="C66" s="1092"/>
      <c r="D66" s="295" t="s">
        <v>199</v>
      </c>
      <c r="E66" s="442">
        <v>0.2</v>
      </c>
      <c r="F66" s="432">
        <f>G65</f>
        <v>0</v>
      </c>
      <c r="G66" s="443">
        <f>G65*0.2</f>
        <v>0</v>
      </c>
      <c r="H66" s="434" t="e">
        <f>G66/$G$68</f>
        <v>#DIV/0!</v>
      </c>
      <c r="I66" s="405" t="s">
        <v>252</v>
      </c>
      <c r="J66" s="136"/>
      <c r="L66" s="55"/>
      <c r="M66" s="55"/>
      <c r="O66" s="58"/>
    </row>
    <row r="67" spans="1:15" s="53" customFormat="1" ht="30" customHeight="1">
      <c r="A67" s="135"/>
      <c r="B67" s="1091"/>
      <c r="C67" s="1092"/>
      <c r="D67" s="297" t="s">
        <v>200</v>
      </c>
      <c r="E67" s="444" t="s">
        <v>259</v>
      </c>
      <c r="F67" s="445"/>
      <c r="G67" s="446"/>
      <c r="H67" s="438" t="e">
        <f>G67/$G$68</f>
        <v>#DIV/0!</v>
      </c>
      <c r="I67" s="402" t="s">
        <v>253</v>
      </c>
      <c r="J67" s="136"/>
      <c r="K67" s="59"/>
      <c r="L67" s="55"/>
      <c r="M67" s="55"/>
      <c r="O67" s="60"/>
    </row>
    <row r="68" spans="1:15" s="53" customFormat="1" ht="30" customHeight="1" thickBot="1">
      <c r="A68" s="135"/>
      <c r="B68" s="1093"/>
      <c r="C68" s="1094"/>
      <c r="D68" s="298" t="s">
        <v>167</v>
      </c>
      <c r="E68" s="447"/>
      <c r="F68" s="448"/>
      <c r="G68" s="449">
        <f>SUM(G65:G67)</f>
        <v>0</v>
      </c>
      <c r="H68" s="450" t="e">
        <f>G68/$G$68</f>
        <v>#DIV/0!</v>
      </c>
      <c r="I68" s="406"/>
      <c r="J68" s="136"/>
      <c r="K68" s="59"/>
      <c r="O68" s="60"/>
    </row>
    <row r="69" spans="1:15" s="53" customFormat="1" ht="30" customHeight="1">
      <c r="A69" s="135"/>
      <c r="B69" s="1259" t="s">
        <v>373</v>
      </c>
      <c r="C69" s="1260"/>
      <c r="D69" s="1253" t="s">
        <v>374</v>
      </c>
      <c r="E69" s="1254">
        <v>0.02</v>
      </c>
      <c r="F69" s="925"/>
      <c r="G69" s="926"/>
      <c r="H69" s="430" t="e">
        <f>G69/$G$71</f>
        <v>#DIV/0!</v>
      </c>
      <c r="I69" s="1257" t="s">
        <v>387</v>
      </c>
      <c r="J69" s="136"/>
      <c r="K69" s="59"/>
      <c r="O69" s="60"/>
    </row>
    <row r="70" spans="1:15" s="53" customFormat="1" ht="30" customHeight="1">
      <c r="A70" s="135"/>
      <c r="B70" s="1261"/>
      <c r="C70" s="1262"/>
      <c r="D70" s="1255" t="s">
        <v>375</v>
      </c>
      <c r="E70" s="1256">
        <v>0</v>
      </c>
      <c r="F70" s="432"/>
      <c r="G70" s="433"/>
      <c r="H70" s="430" t="e">
        <f>G70/$G$71</f>
        <v>#DIV/0!</v>
      </c>
      <c r="I70" s="1258" t="s">
        <v>388</v>
      </c>
      <c r="J70" s="136"/>
      <c r="K70" s="59"/>
      <c r="O70" s="60"/>
    </row>
    <row r="71" spans="1:15" s="53" customFormat="1" ht="30" customHeight="1" thickBot="1">
      <c r="A71" s="135"/>
      <c r="B71" s="927"/>
      <c r="C71" s="928"/>
      <c r="D71" s="298" t="s">
        <v>167</v>
      </c>
      <c r="E71" s="1139"/>
      <c r="F71" s="1140"/>
      <c r="G71" s="929">
        <f>SUM(G69:G70)</f>
        <v>0</v>
      </c>
      <c r="H71" s="930" t="e">
        <f>G71/$G$71</f>
        <v>#DIV/0!</v>
      </c>
      <c r="I71" s="406"/>
      <c r="J71" s="136"/>
      <c r="K71" s="59"/>
      <c r="O71" s="60"/>
    </row>
    <row r="72" spans="1:15" ht="21" customHeight="1" thickBot="1">
      <c r="A72" s="101"/>
      <c r="B72" s="22"/>
      <c r="C72" s="22"/>
      <c r="D72" s="38"/>
      <c r="E72" s="38"/>
      <c r="F72" s="292"/>
      <c r="G72" s="38"/>
      <c r="H72" s="306"/>
      <c r="I72" s="38"/>
      <c r="J72" s="112"/>
      <c r="K72" s="28"/>
      <c r="M72" s="6"/>
      <c r="O72" s="4"/>
    </row>
    <row r="73" spans="1:15" s="61" customFormat="1" ht="25.8">
      <c r="F73" s="198"/>
      <c r="G73" s="864"/>
      <c r="H73" s="307"/>
      <c r="K73" s="180"/>
      <c r="M73" s="181"/>
      <c r="O73" s="182"/>
    </row>
    <row r="74" spans="1:15" s="61" customFormat="1">
      <c r="F74" s="198"/>
      <c r="H74" s="307"/>
      <c r="K74" s="180"/>
      <c r="M74" s="181"/>
      <c r="O74" s="182"/>
    </row>
    <row r="75" spans="1:15" s="61" customFormat="1">
      <c r="B75" s="61" t="s">
        <v>187</v>
      </c>
      <c r="F75" s="44"/>
      <c r="G75" s="44"/>
      <c r="H75" s="307"/>
      <c r="K75" s="183"/>
      <c r="M75" s="181"/>
    </row>
    <row r="76" spans="1:15" s="61" customFormat="1">
      <c r="B76" s="61" t="s">
        <v>188</v>
      </c>
      <c r="F76" s="44"/>
      <c r="G76" s="44"/>
      <c r="H76" s="307"/>
      <c r="K76" s="184"/>
      <c r="M76" s="181"/>
    </row>
    <row r="77" spans="1:15" s="61" customFormat="1">
      <c r="C77" s="61" t="s">
        <v>191</v>
      </c>
      <c r="F77" s="44"/>
      <c r="G77" s="44"/>
      <c r="H77" s="307"/>
      <c r="K77" s="180"/>
    </row>
    <row r="78" spans="1:15" s="61" customFormat="1">
      <c r="H78" s="307"/>
      <c r="K78" s="180"/>
      <c r="M78" s="181"/>
      <c r="O78" s="182"/>
    </row>
    <row r="79" spans="1:15" s="61" customFormat="1">
      <c r="B79" s="61" t="s">
        <v>110</v>
      </c>
      <c r="H79" s="307"/>
      <c r="K79" s="183"/>
      <c r="M79" s="181"/>
    </row>
    <row r="80" spans="1:15" s="61" customFormat="1">
      <c r="B80" s="61" t="s">
        <v>189</v>
      </c>
      <c r="H80" s="307"/>
      <c r="K80" s="184"/>
      <c r="M80" s="181"/>
    </row>
    <row r="81" spans="2:13" s="61" customFormat="1">
      <c r="C81" s="61" t="s">
        <v>107</v>
      </c>
      <c r="H81" s="307"/>
      <c r="K81" s="180"/>
    </row>
    <row r="82" spans="2:13" s="61" customFormat="1">
      <c r="C82" s="61" t="s">
        <v>106</v>
      </c>
      <c r="H82" s="307"/>
      <c r="K82" s="180"/>
    </row>
    <row r="83" spans="2:13" s="61" customFormat="1">
      <c r="B83" s="61" t="s">
        <v>190</v>
      </c>
      <c r="E83" s="44"/>
      <c r="F83" s="44"/>
      <c r="G83" s="44"/>
      <c r="H83" s="307"/>
      <c r="K83" s="180"/>
    </row>
    <row r="84" spans="2:13" s="61" customFormat="1">
      <c r="C84" s="61" t="s">
        <v>108</v>
      </c>
      <c r="E84" s="44"/>
      <c r="F84" s="1124"/>
      <c r="G84" s="1124"/>
      <c r="H84" s="307"/>
      <c r="K84" s="185"/>
    </row>
    <row r="85" spans="2:13" s="61" customFormat="1">
      <c r="C85" s="61" t="s">
        <v>111</v>
      </c>
      <c r="E85" s="44"/>
      <c r="F85" s="44"/>
      <c r="G85" s="44"/>
      <c r="H85" s="307"/>
      <c r="K85" s="185"/>
    </row>
    <row r="86" spans="2:13" s="61" customFormat="1">
      <c r="C86" s="61" t="s">
        <v>109</v>
      </c>
      <c r="E86" s="44"/>
      <c r="F86" s="44"/>
      <c r="G86" s="44"/>
      <c r="H86" s="307"/>
      <c r="K86" s="185"/>
      <c r="L86" s="186"/>
      <c r="M86" s="181"/>
    </row>
    <row r="87" spans="2:13" s="61" customFormat="1">
      <c r="H87" s="307"/>
      <c r="K87" s="187"/>
      <c r="L87" s="186"/>
      <c r="M87" s="181"/>
    </row>
    <row r="88" spans="2:13" s="61" customFormat="1">
      <c r="B88" s="61" t="s">
        <v>129</v>
      </c>
      <c r="H88" s="307"/>
      <c r="K88" s="188"/>
      <c r="L88" s="186"/>
      <c r="M88" s="181"/>
    </row>
    <row r="89" spans="2:13" s="61" customFormat="1">
      <c r="B89" s="61" t="s">
        <v>130</v>
      </c>
      <c r="H89" s="307"/>
      <c r="K89" s="188"/>
      <c r="L89" s="186"/>
      <c r="M89" s="181"/>
    </row>
    <row r="90" spans="2:13" s="61" customFormat="1">
      <c r="B90" s="61" t="s">
        <v>131</v>
      </c>
      <c r="H90" s="307"/>
      <c r="K90" s="188"/>
      <c r="L90" s="186"/>
      <c r="M90" s="181"/>
    </row>
    <row r="91" spans="2:13" s="61" customFormat="1">
      <c r="B91" s="61" t="s">
        <v>132</v>
      </c>
      <c r="H91" s="307"/>
      <c r="K91" s="188"/>
      <c r="L91" s="186"/>
      <c r="M91" s="181"/>
    </row>
    <row r="92" spans="2:13" s="61" customFormat="1">
      <c r="B92" s="61" t="s">
        <v>193</v>
      </c>
      <c r="H92" s="307"/>
      <c r="K92" s="188"/>
      <c r="L92" s="186"/>
      <c r="M92" s="181"/>
    </row>
    <row r="93" spans="2:13" s="61" customFormat="1">
      <c r="H93" s="307"/>
      <c r="K93" s="188"/>
      <c r="L93" s="186"/>
      <c r="M93" s="181"/>
    </row>
    <row r="94" spans="2:13" s="61" customFormat="1">
      <c r="H94" s="307"/>
      <c r="K94" s="188"/>
      <c r="L94" s="186"/>
      <c r="M94" s="181"/>
    </row>
    <row r="95" spans="2:13">
      <c r="K95" s="7"/>
      <c r="L95" s="4"/>
      <c r="M95" s="6"/>
    </row>
    <row r="96" spans="2:13">
      <c r="K96" s="7"/>
      <c r="L96" s="4"/>
      <c r="M96" s="6"/>
    </row>
    <row r="97" spans="11:13">
      <c r="K97" s="7"/>
      <c r="L97" s="4"/>
      <c r="M97" s="6"/>
    </row>
    <row r="98" spans="11:13">
      <c r="K98" s="7"/>
      <c r="L98" s="4"/>
      <c r="M98" s="6"/>
    </row>
    <row r="99" spans="11:13">
      <c r="K99" s="7"/>
      <c r="L99" s="4"/>
      <c r="M99" s="6"/>
    </row>
    <row r="100" spans="11:13">
      <c r="K100" s="7"/>
      <c r="L100" s="4"/>
      <c r="M100" s="6"/>
    </row>
    <row r="101" spans="11:13">
      <c r="K101" s="7"/>
      <c r="L101" s="4"/>
      <c r="M101" s="6"/>
    </row>
    <row r="102" spans="11:13">
      <c r="K102" s="7"/>
      <c r="L102" s="4"/>
      <c r="M102" s="6"/>
    </row>
    <row r="103" spans="11:13">
      <c r="K103" s="7"/>
      <c r="L103" s="4"/>
      <c r="M103" s="6"/>
    </row>
    <row r="104" spans="11:13">
      <c r="K104" s="7"/>
      <c r="L104" s="4"/>
      <c r="M104" s="6"/>
    </row>
    <row r="105" spans="11:13">
      <c r="K105" s="7"/>
      <c r="L105" s="4"/>
      <c r="M105" s="6"/>
    </row>
    <row r="106" spans="11:13">
      <c r="K106" s="7"/>
      <c r="L106" s="4"/>
      <c r="M106" s="6"/>
    </row>
    <row r="124" spans="6:6">
      <c r="F124" s="198"/>
    </row>
  </sheetData>
  <mergeCells count="28">
    <mergeCell ref="F84:G84"/>
    <mergeCell ref="B60:C60"/>
    <mergeCell ref="B43:C46"/>
    <mergeCell ref="B49:C52"/>
    <mergeCell ref="E49:F49"/>
    <mergeCell ref="B53:D53"/>
    <mergeCell ref="B61:C64"/>
    <mergeCell ref="E71:F71"/>
    <mergeCell ref="B10:D10"/>
    <mergeCell ref="E64:F64"/>
    <mergeCell ref="A1:J1"/>
    <mergeCell ref="A2:J2"/>
    <mergeCell ref="E53:F53"/>
    <mergeCell ref="B29:C31"/>
    <mergeCell ref="B32:C41"/>
    <mergeCell ref="B5:C5"/>
    <mergeCell ref="B11:C11"/>
    <mergeCell ref="B19:C27"/>
    <mergeCell ref="B28:D28"/>
    <mergeCell ref="B42:D42"/>
    <mergeCell ref="B6:C7"/>
    <mergeCell ref="B8:C9"/>
    <mergeCell ref="B12:C18"/>
    <mergeCell ref="B47:C48"/>
    <mergeCell ref="B65:C68"/>
    <mergeCell ref="E65:F65"/>
    <mergeCell ref="E42:F42"/>
    <mergeCell ref="B69:C70"/>
  </mergeCells>
  <phoneticPr fontId="8" type="noConversion"/>
  <hyperlinks>
    <hyperlink ref="L24" r:id="rId1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4" orientation="portrait" horizontalDpi="300" verticalDpi="300" r:id="rId2"/>
  <rowBreaks count="1" manualBreakCount="1">
    <brk id="55" max="9" man="1"/>
  </rowBreaks>
  <ignoredErrors>
    <ignoredError sqref="G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GridLines="0" view="pageBreakPreview" zoomScale="60" zoomScalePageLayoutView="55" workbookViewId="0">
      <selection activeCell="H24" sqref="H24"/>
    </sheetView>
  </sheetViews>
  <sheetFormatPr defaultColWidth="8.8984375" defaultRowHeight="16.8"/>
  <cols>
    <col min="1" max="1" width="3.09765625" style="757" customWidth="1"/>
    <col min="2" max="2" width="8.69921875" style="757" customWidth="1"/>
    <col min="3" max="3" width="10.69921875" style="757" customWidth="1"/>
    <col min="4" max="4" width="8.69921875" style="757" customWidth="1"/>
    <col min="5" max="5" width="7.69921875" style="757" bestFit="1" customWidth="1"/>
    <col min="6" max="6" width="10.69921875" style="757" customWidth="1"/>
    <col min="7" max="7" width="13.09765625" style="757" customWidth="1"/>
    <col min="8" max="8" width="15.3984375" style="757" customWidth="1"/>
    <col min="9" max="9" width="13.59765625" style="757" customWidth="1"/>
    <col min="10" max="10" width="15.296875" style="757" bestFit="1" customWidth="1"/>
    <col min="11" max="11" width="13.3984375" style="757" customWidth="1"/>
    <col min="12" max="12" width="12.296875" style="757" customWidth="1"/>
    <col min="13" max="13" width="16.69921875" style="757" customWidth="1"/>
    <col min="14" max="14" width="1.69921875" style="821" customWidth="1"/>
    <col min="15" max="15" width="8.796875" style="758" customWidth="1"/>
    <col min="16" max="16" width="3.69921875" style="757" customWidth="1"/>
    <col min="17" max="17" width="8.796875" style="758" customWidth="1"/>
    <col min="18" max="18" width="3" style="757" customWidth="1"/>
    <col min="19" max="19" width="17.69921875" style="757" bestFit="1" customWidth="1"/>
    <col min="20" max="20" width="7.3984375" style="757" bestFit="1" customWidth="1"/>
    <col min="21" max="21" width="17.3984375" style="757" bestFit="1" customWidth="1"/>
    <col min="22" max="22" width="20.3984375" style="757" customWidth="1"/>
    <col min="23" max="23" width="22.296875" style="757" bestFit="1" customWidth="1"/>
    <col min="24" max="24" width="18.3984375" style="757" bestFit="1" customWidth="1"/>
    <col min="25" max="27" width="9.796875" style="757" customWidth="1"/>
    <col min="28" max="16384" width="8.8984375" style="757"/>
  </cols>
  <sheetData>
    <row r="1" spans="1:22" ht="89.25" customHeight="1" thickBot="1">
      <c r="A1" s="837" t="s">
        <v>317</v>
      </c>
      <c r="B1" s="837"/>
      <c r="C1" s="838"/>
    </row>
    <row r="2" spans="1:22" ht="42" customHeight="1" thickBot="1">
      <c r="A2" s="839"/>
      <c r="B2" s="684" t="s">
        <v>318</v>
      </c>
      <c r="C2" s="682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822"/>
      <c r="O2" s="760"/>
      <c r="P2" s="759"/>
      <c r="Q2" s="760"/>
      <c r="R2" s="761"/>
      <c r="S2" s="762"/>
      <c r="T2" s="763"/>
    </row>
    <row r="3" spans="1:22" ht="19.5" customHeight="1" thickBot="1">
      <c r="A3" s="764"/>
      <c r="B3" s="765"/>
      <c r="C3" s="766"/>
      <c r="D3" s="766"/>
      <c r="E3" s="766"/>
      <c r="F3" s="766"/>
      <c r="G3" s="766"/>
      <c r="H3" s="766"/>
      <c r="I3" s="766"/>
      <c r="J3" s="766"/>
      <c r="K3" s="766"/>
      <c r="L3" s="1166"/>
      <c r="M3" s="571"/>
      <c r="N3" s="823"/>
      <c r="O3" s="767"/>
      <c r="P3" s="766"/>
      <c r="Q3" s="767"/>
      <c r="R3" s="768"/>
      <c r="S3" s="762"/>
      <c r="T3" s="763"/>
    </row>
    <row r="4" spans="1:22" ht="55.2" customHeight="1" thickBot="1">
      <c r="A4" s="769"/>
      <c r="B4" s="770"/>
      <c r="C4" s="1141" t="s">
        <v>307</v>
      </c>
      <c r="D4" s="1142"/>
      <c r="E4" s="772" t="e">
        <f>L21</f>
        <v>#DIV/0!</v>
      </c>
      <c r="F4" s="773" t="s">
        <v>308</v>
      </c>
      <c r="G4" s="931" t="s">
        <v>309</v>
      </c>
      <c r="H4" s="932">
        <v>3600000</v>
      </c>
      <c r="I4" s="1169"/>
      <c r="J4" s="1169"/>
      <c r="K4" s="1169"/>
      <c r="L4" s="1167"/>
      <c r="M4" s="571"/>
      <c r="N4" s="762"/>
      <c r="T4" s="763"/>
    </row>
    <row r="5" spans="1:22" ht="21" customHeight="1" thickBot="1">
      <c r="A5" s="769"/>
      <c r="B5" s="770"/>
      <c r="C5" s="771"/>
      <c r="D5" s="771"/>
      <c r="E5" s="771"/>
      <c r="F5" s="771"/>
      <c r="G5" s="771"/>
      <c r="H5" s="771"/>
      <c r="I5" s="771"/>
      <c r="J5" s="771"/>
      <c r="K5" s="771"/>
      <c r="L5" s="1168"/>
      <c r="M5" s="771"/>
      <c r="N5" s="824"/>
      <c r="O5" s="776"/>
      <c r="P5" s="771"/>
      <c r="Q5" s="758" t="s">
        <v>377</v>
      </c>
      <c r="R5" s="775"/>
      <c r="S5" s="762"/>
    </row>
    <row r="6" spans="1:22" ht="26.25" customHeight="1" thickBot="1">
      <c r="A6" s="769"/>
      <c r="B6" s="1154" t="s">
        <v>286</v>
      </c>
      <c r="C6" s="1156" t="s">
        <v>287</v>
      </c>
      <c r="D6" s="1156" t="s">
        <v>288</v>
      </c>
      <c r="E6" s="1143" t="s">
        <v>289</v>
      </c>
      <c r="F6" s="1145" t="s">
        <v>290</v>
      </c>
      <c r="G6" s="1145"/>
      <c r="H6" s="686" t="s">
        <v>291</v>
      </c>
      <c r="I6" s="1173" t="s">
        <v>292</v>
      </c>
      <c r="J6" s="1174"/>
      <c r="K6" s="1174"/>
      <c r="L6" s="1143"/>
      <c r="M6" s="1175"/>
      <c r="N6" s="825"/>
      <c r="O6" s="1147" t="s">
        <v>313</v>
      </c>
      <c r="P6" s="1149" t="s">
        <v>314</v>
      </c>
      <c r="Q6" s="1170" t="s">
        <v>315</v>
      </c>
      <c r="R6" s="775"/>
    </row>
    <row r="7" spans="1:22" ht="44.25" customHeight="1">
      <c r="A7" s="769"/>
      <c r="B7" s="1155"/>
      <c r="C7" s="1157"/>
      <c r="D7" s="1157"/>
      <c r="E7" s="1144"/>
      <c r="F7" s="1146"/>
      <c r="G7" s="1146"/>
      <c r="H7" s="687" t="s">
        <v>293</v>
      </c>
      <c r="I7" s="688" t="s">
        <v>294</v>
      </c>
      <c r="J7" s="689" t="s">
        <v>295</v>
      </c>
      <c r="K7" s="687" t="s">
        <v>296</v>
      </c>
      <c r="L7" s="690" t="s">
        <v>297</v>
      </c>
      <c r="M7" s="691" t="s">
        <v>298</v>
      </c>
      <c r="N7" s="826"/>
      <c r="O7" s="1148"/>
      <c r="P7" s="1150"/>
      <c r="Q7" s="1171"/>
      <c r="R7" s="777"/>
    </row>
    <row r="8" spans="1:22" ht="36.75" customHeight="1">
      <c r="A8" s="769"/>
      <c r="B8" s="1160" t="s">
        <v>299</v>
      </c>
      <c r="C8" s="692" t="s">
        <v>300</v>
      </c>
      <c r="D8" s="693" t="s">
        <v>201</v>
      </c>
      <c r="E8" s="694">
        <v>1</v>
      </c>
      <c r="F8" s="695" t="e">
        <f>'&lt;서식2&gt;면적표'!O6</f>
        <v>#DIV/0!</v>
      </c>
      <c r="G8" s="696" t="e">
        <f t="shared" ref="G8:G16" si="0">F8/3.30578</f>
        <v>#DIV/0!</v>
      </c>
      <c r="H8" s="697" t="s">
        <v>220</v>
      </c>
      <c r="I8" s="698" t="s">
        <v>220</v>
      </c>
      <c r="J8" s="699">
        <v>10000000</v>
      </c>
      <c r="K8" s="700">
        <v>200000</v>
      </c>
      <c r="L8" s="701" t="e">
        <f t="shared" ref="L8:L20" si="1">K8/F8</f>
        <v>#DIV/0!</v>
      </c>
      <c r="M8" s="702">
        <f t="shared" ref="M8:M19" si="2">K8*12</f>
        <v>2400000</v>
      </c>
      <c r="N8" s="827"/>
      <c r="O8" s="778"/>
      <c r="P8" s="779"/>
      <c r="Q8" s="780"/>
      <c r="R8" s="777"/>
    </row>
    <row r="9" spans="1:22" ht="36.75" customHeight="1">
      <c r="A9" s="769"/>
      <c r="B9" s="1161"/>
      <c r="C9" s="703" t="s">
        <v>300</v>
      </c>
      <c r="D9" s="704">
        <v>101</v>
      </c>
      <c r="E9" s="704">
        <v>1</v>
      </c>
      <c r="F9" s="705" t="e">
        <f>'&lt;서식2&gt;면적표'!O7</f>
        <v>#DIV/0!</v>
      </c>
      <c r="G9" s="706" t="e">
        <f t="shared" si="0"/>
        <v>#DIV/0!</v>
      </c>
      <c r="H9" s="707" t="s">
        <v>220</v>
      </c>
      <c r="I9" s="708" t="s">
        <v>220</v>
      </c>
      <c r="J9" s="709">
        <v>20000000</v>
      </c>
      <c r="K9" s="710">
        <v>600000</v>
      </c>
      <c r="L9" s="711" t="e">
        <f t="shared" si="1"/>
        <v>#DIV/0!</v>
      </c>
      <c r="M9" s="712">
        <f t="shared" si="2"/>
        <v>7200000</v>
      </c>
      <c r="N9" s="828"/>
      <c r="O9" s="782"/>
      <c r="P9" s="783"/>
      <c r="Q9" s="784"/>
      <c r="R9" s="785"/>
      <c r="V9" s="787"/>
    </row>
    <row r="10" spans="1:22" ht="36.75" customHeight="1">
      <c r="A10" s="769"/>
      <c r="B10" s="1161"/>
      <c r="C10" s="713" t="s">
        <v>300</v>
      </c>
      <c r="D10" s="714">
        <v>201</v>
      </c>
      <c r="E10" s="714">
        <v>1</v>
      </c>
      <c r="F10" s="715" t="e">
        <f>'&lt;서식2&gt;면적표'!O8</f>
        <v>#DIV/0!</v>
      </c>
      <c r="G10" s="716" t="e">
        <f t="shared" si="0"/>
        <v>#DIV/0!</v>
      </c>
      <c r="H10" s="717" t="s">
        <v>220</v>
      </c>
      <c r="I10" s="718" t="s">
        <v>220</v>
      </c>
      <c r="J10" s="719">
        <v>20000000</v>
      </c>
      <c r="K10" s="720">
        <v>700000</v>
      </c>
      <c r="L10" s="721" t="e">
        <f t="shared" si="1"/>
        <v>#DIV/0!</v>
      </c>
      <c r="M10" s="722">
        <f t="shared" si="2"/>
        <v>8400000</v>
      </c>
      <c r="N10" s="829"/>
      <c r="O10" s="788"/>
      <c r="P10" s="789"/>
      <c r="Q10" s="790"/>
      <c r="R10" s="791"/>
      <c r="S10" s="792"/>
      <c r="T10" s="793"/>
      <c r="U10" s="794"/>
      <c r="V10" s="793"/>
    </row>
    <row r="11" spans="1:22" ht="36.75" customHeight="1">
      <c r="A11" s="769"/>
      <c r="B11" s="1162"/>
      <c r="C11" s="1158" t="s">
        <v>301</v>
      </c>
      <c r="D11" s="1159"/>
      <c r="E11" s="723">
        <f>SUM(E8:E10)</f>
        <v>3</v>
      </c>
      <c r="F11" s="724" t="e">
        <f t="shared" ref="F11" si="3">SUM(F8:F10)</f>
        <v>#DIV/0!</v>
      </c>
      <c r="G11" s="725" t="e">
        <f t="shared" ref="G11" si="4">SUM(G8:G10)</f>
        <v>#DIV/0!</v>
      </c>
      <c r="H11" s="726"/>
      <c r="I11" s="727"/>
      <c r="J11" s="728">
        <f t="shared" ref="J11:K11" si="5">SUM(J8:J10)</f>
        <v>50000000</v>
      </c>
      <c r="K11" s="726">
        <f t="shared" si="5"/>
        <v>1500000</v>
      </c>
      <c r="L11" s="729" t="e">
        <f>K11/F11</f>
        <v>#DIV/0!</v>
      </c>
      <c r="M11" s="730">
        <f>SUM(M8:M10)</f>
        <v>18000000</v>
      </c>
      <c r="N11" s="830"/>
      <c r="O11" s="795"/>
      <c r="P11" s="796"/>
      <c r="Q11" s="797"/>
      <c r="R11" s="791"/>
      <c r="S11" s="798"/>
    </row>
    <row r="12" spans="1:22" ht="36.75" customHeight="1">
      <c r="A12" s="769"/>
      <c r="B12" s="1163" t="s">
        <v>302</v>
      </c>
      <c r="C12" s="731" t="s">
        <v>303</v>
      </c>
      <c r="D12" s="732">
        <v>202</v>
      </c>
      <c r="E12" s="732">
        <v>1</v>
      </c>
      <c r="F12" s="695" t="e">
        <f>'&lt;서식2&gt;면적표'!O10</f>
        <v>#DIV/0!</v>
      </c>
      <c r="G12" s="733" t="e">
        <f t="shared" si="0"/>
        <v>#DIV/0!</v>
      </c>
      <c r="H12" s="734" t="e">
        <f t="shared" ref="H12:H20" si="6">ROUNDUP(F12*$S$14,-6)</f>
        <v>#DIV/0!</v>
      </c>
      <c r="I12" s="735" t="e">
        <f t="shared" ref="I12:I20" si="7">ROUNDUP(H12*0.8,-6)</f>
        <v>#DIV/0!</v>
      </c>
      <c r="J12" s="736" t="e">
        <f>ROUND(I12*O12,-7)</f>
        <v>#DIV/0!</v>
      </c>
      <c r="K12" s="737" t="e">
        <f>ROUNDUP(((I12-J12)*Q12)/12,-4)</f>
        <v>#DIV/0!</v>
      </c>
      <c r="L12" s="738" t="e">
        <f t="shared" si="1"/>
        <v>#DIV/0!</v>
      </c>
      <c r="M12" s="739" t="e">
        <f t="shared" si="2"/>
        <v>#DIV/0!</v>
      </c>
      <c r="N12" s="831"/>
      <c r="O12" s="799">
        <v>0.65</v>
      </c>
      <c r="P12" s="800"/>
      <c r="Q12" s="801"/>
      <c r="R12" s="791"/>
      <c r="S12" s="762"/>
      <c r="T12" s="757" t="s">
        <v>376</v>
      </c>
    </row>
    <row r="13" spans="1:22" ht="36.75" customHeight="1">
      <c r="A13" s="769"/>
      <c r="B13" s="1164"/>
      <c r="C13" s="740" t="s">
        <v>303</v>
      </c>
      <c r="D13" s="704">
        <v>203</v>
      </c>
      <c r="E13" s="704">
        <v>1</v>
      </c>
      <c r="F13" s="705" t="e">
        <f>'&lt;서식2&gt;면적표'!O11</f>
        <v>#DIV/0!</v>
      </c>
      <c r="G13" s="706" t="e">
        <f t="shared" si="0"/>
        <v>#DIV/0!</v>
      </c>
      <c r="H13" s="707" t="e">
        <f t="shared" si="6"/>
        <v>#DIV/0!</v>
      </c>
      <c r="I13" s="708" t="e">
        <f t="shared" si="7"/>
        <v>#DIV/0!</v>
      </c>
      <c r="J13" s="709" t="e">
        <f t="shared" ref="J13:J20" si="8">ROUND(I13*O13,-7)</f>
        <v>#DIV/0!</v>
      </c>
      <c r="K13" s="710" t="e">
        <f t="shared" ref="K13:K20" si="9">ROUNDUP(((I13-J13)*Q13)/12,-4)</f>
        <v>#DIV/0!</v>
      </c>
      <c r="L13" s="711" t="e">
        <f t="shared" si="1"/>
        <v>#DIV/0!</v>
      </c>
      <c r="M13" s="712" t="e">
        <f t="shared" si="2"/>
        <v>#DIV/0!</v>
      </c>
      <c r="N13" s="828"/>
      <c r="O13" s="782">
        <f>O12</f>
        <v>0.65</v>
      </c>
      <c r="P13" s="783"/>
      <c r="Q13" s="784"/>
      <c r="R13" s="802"/>
      <c r="S13" s="774"/>
      <c r="T13" s="757" t="s">
        <v>310</v>
      </c>
    </row>
    <row r="14" spans="1:22" ht="36.75" customHeight="1">
      <c r="A14" s="769"/>
      <c r="B14" s="1164"/>
      <c r="C14" s="740" t="s">
        <v>303</v>
      </c>
      <c r="D14" s="704">
        <v>301</v>
      </c>
      <c r="E14" s="704">
        <v>1</v>
      </c>
      <c r="F14" s="705" t="e">
        <f>'&lt;서식2&gt;면적표'!O12</f>
        <v>#DIV/0!</v>
      </c>
      <c r="G14" s="706" t="e">
        <f t="shared" si="0"/>
        <v>#DIV/0!</v>
      </c>
      <c r="H14" s="707" t="e">
        <f t="shared" si="6"/>
        <v>#DIV/0!</v>
      </c>
      <c r="I14" s="708" t="e">
        <f t="shared" si="7"/>
        <v>#DIV/0!</v>
      </c>
      <c r="J14" s="709" t="e">
        <f t="shared" si="8"/>
        <v>#DIV/0!</v>
      </c>
      <c r="K14" s="710" t="e">
        <f t="shared" si="9"/>
        <v>#DIV/0!</v>
      </c>
      <c r="L14" s="711" t="e">
        <f t="shared" si="1"/>
        <v>#DIV/0!</v>
      </c>
      <c r="M14" s="712" t="e">
        <f t="shared" si="2"/>
        <v>#DIV/0!</v>
      </c>
      <c r="N14" s="828"/>
      <c r="O14" s="782">
        <f t="shared" ref="O14:O17" si="10">O13</f>
        <v>0.65</v>
      </c>
      <c r="P14" s="783"/>
      <c r="Q14" s="784"/>
      <c r="R14" s="803"/>
      <c r="S14" s="781"/>
      <c r="T14" s="757" t="s">
        <v>311</v>
      </c>
      <c r="U14" s="756"/>
    </row>
    <row r="15" spans="1:22" ht="36.75" customHeight="1">
      <c r="A15" s="769"/>
      <c r="B15" s="1164"/>
      <c r="C15" s="740" t="s">
        <v>303</v>
      </c>
      <c r="D15" s="704">
        <v>302</v>
      </c>
      <c r="E15" s="704">
        <v>1</v>
      </c>
      <c r="F15" s="705" t="e">
        <f>'&lt;서식2&gt;면적표'!O13</f>
        <v>#DIV/0!</v>
      </c>
      <c r="G15" s="706" t="e">
        <f t="shared" si="0"/>
        <v>#DIV/0!</v>
      </c>
      <c r="H15" s="707" t="e">
        <f t="shared" si="6"/>
        <v>#DIV/0!</v>
      </c>
      <c r="I15" s="708" t="e">
        <f t="shared" si="7"/>
        <v>#DIV/0!</v>
      </c>
      <c r="J15" s="709" t="e">
        <f t="shared" si="8"/>
        <v>#DIV/0!</v>
      </c>
      <c r="K15" s="710" t="e">
        <f t="shared" si="9"/>
        <v>#DIV/0!</v>
      </c>
      <c r="L15" s="711" t="e">
        <f t="shared" si="1"/>
        <v>#DIV/0!</v>
      </c>
      <c r="M15" s="712" t="e">
        <f t="shared" si="2"/>
        <v>#DIV/0!</v>
      </c>
      <c r="N15" s="828"/>
      <c r="O15" s="782">
        <f t="shared" si="10"/>
        <v>0.65</v>
      </c>
      <c r="P15" s="783"/>
      <c r="Q15" s="784"/>
      <c r="R15" s="791"/>
      <c r="S15" s="786"/>
      <c r="T15" s="757" t="s">
        <v>312</v>
      </c>
    </row>
    <row r="16" spans="1:22" ht="36.75" customHeight="1">
      <c r="A16" s="769"/>
      <c r="B16" s="1164"/>
      <c r="C16" s="740" t="s">
        <v>303</v>
      </c>
      <c r="D16" s="704">
        <v>303</v>
      </c>
      <c r="E16" s="704">
        <v>1</v>
      </c>
      <c r="F16" s="705" t="e">
        <f>'&lt;서식2&gt;면적표'!O14</f>
        <v>#DIV/0!</v>
      </c>
      <c r="G16" s="706" t="e">
        <f t="shared" si="0"/>
        <v>#DIV/0!</v>
      </c>
      <c r="H16" s="707" t="e">
        <f t="shared" si="6"/>
        <v>#DIV/0!</v>
      </c>
      <c r="I16" s="708" t="e">
        <f t="shared" si="7"/>
        <v>#DIV/0!</v>
      </c>
      <c r="J16" s="709" t="e">
        <f t="shared" si="8"/>
        <v>#DIV/0!</v>
      </c>
      <c r="K16" s="710" t="e">
        <f t="shared" si="9"/>
        <v>#DIV/0!</v>
      </c>
      <c r="L16" s="711" t="e">
        <f t="shared" si="1"/>
        <v>#DIV/0!</v>
      </c>
      <c r="M16" s="712" t="e">
        <f t="shared" si="2"/>
        <v>#DIV/0!</v>
      </c>
      <c r="N16" s="828"/>
      <c r="O16" s="782">
        <f t="shared" si="10"/>
        <v>0.65</v>
      </c>
      <c r="P16" s="783"/>
      <c r="Q16" s="784"/>
      <c r="R16" s="791"/>
      <c r="S16" s="804"/>
    </row>
    <row r="17" spans="1:23" ht="36.75" customHeight="1">
      <c r="A17" s="769"/>
      <c r="B17" s="1164"/>
      <c r="C17" s="740" t="s">
        <v>303</v>
      </c>
      <c r="D17" s="704">
        <v>401</v>
      </c>
      <c r="E17" s="704">
        <v>1</v>
      </c>
      <c r="F17" s="705" t="e">
        <f>'&lt;서식2&gt;면적표'!O15</f>
        <v>#DIV/0!</v>
      </c>
      <c r="G17" s="706" t="e">
        <f t="shared" ref="G17:G20" si="11">F17/3.30578</f>
        <v>#DIV/0!</v>
      </c>
      <c r="H17" s="707" t="e">
        <f t="shared" si="6"/>
        <v>#DIV/0!</v>
      </c>
      <c r="I17" s="708" t="e">
        <f t="shared" si="7"/>
        <v>#DIV/0!</v>
      </c>
      <c r="J17" s="709" t="e">
        <f t="shared" si="8"/>
        <v>#DIV/0!</v>
      </c>
      <c r="K17" s="710" t="e">
        <f t="shared" si="9"/>
        <v>#DIV/0!</v>
      </c>
      <c r="L17" s="711" t="e">
        <f t="shared" si="1"/>
        <v>#DIV/0!</v>
      </c>
      <c r="M17" s="712" t="e">
        <f t="shared" si="2"/>
        <v>#DIV/0!</v>
      </c>
      <c r="N17" s="828"/>
      <c r="O17" s="782">
        <f t="shared" si="10"/>
        <v>0.65</v>
      </c>
      <c r="P17" s="783"/>
      <c r="Q17" s="784"/>
      <c r="R17" s="791"/>
      <c r="S17" s="804"/>
      <c r="T17" s="756"/>
      <c r="U17" s="756"/>
      <c r="W17" s="805"/>
    </row>
    <row r="18" spans="1:23" ht="36.75" customHeight="1">
      <c r="A18" s="769"/>
      <c r="B18" s="1164"/>
      <c r="C18" s="740" t="s">
        <v>303</v>
      </c>
      <c r="D18" s="704" t="s">
        <v>304</v>
      </c>
      <c r="E18" s="704">
        <v>1</v>
      </c>
      <c r="F18" s="705" t="e">
        <f>'&lt;서식2&gt;면적표'!O16</f>
        <v>#DIV/0!</v>
      </c>
      <c r="G18" s="706" t="e">
        <f t="shared" si="11"/>
        <v>#DIV/0!</v>
      </c>
      <c r="H18" s="707" t="e">
        <f t="shared" si="6"/>
        <v>#DIV/0!</v>
      </c>
      <c r="I18" s="708" t="e">
        <f t="shared" si="7"/>
        <v>#DIV/0!</v>
      </c>
      <c r="J18" s="709" t="e">
        <f t="shared" si="8"/>
        <v>#DIV/0!</v>
      </c>
      <c r="K18" s="710" t="e">
        <f t="shared" si="9"/>
        <v>#DIV/0!</v>
      </c>
      <c r="L18" s="711" t="e">
        <f t="shared" si="1"/>
        <v>#DIV/0!</v>
      </c>
      <c r="M18" s="712" t="e">
        <f t="shared" si="2"/>
        <v>#DIV/0!</v>
      </c>
      <c r="N18" s="828"/>
      <c r="O18" s="782">
        <v>0.55000000000000004</v>
      </c>
      <c r="P18" s="783"/>
      <c r="Q18" s="784"/>
      <c r="R18" s="791"/>
      <c r="S18" s="804"/>
      <c r="T18" s="756"/>
      <c r="U18" s="756"/>
      <c r="V18" s="756"/>
      <c r="W18" s="805"/>
    </row>
    <row r="19" spans="1:23" ht="36.75" customHeight="1">
      <c r="A19" s="769"/>
      <c r="B19" s="1164"/>
      <c r="C19" s="740" t="s">
        <v>303</v>
      </c>
      <c r="D19" s="704">
        <v>403</v>
      </c>
      <c r="E19" s="704">
        <v>1</v>
      </c>
      <c r="F19" s="705" t="e">
        <f>'&lt;서식2&gt;면적표'!O17</f>
        <v>#DIV/0!</v>
      </c>
      <c r="G19" s="706" t="e">
        <f t="shared" si="11"/>
        <v>#DIV/0!</v>
      </c>
      <c r="H19" s="707" t="e">
        <f t="shared" si="6"/>
        <v>#DIV/0!</v>
      </c>
      <c r="I19" s="708" t="e">
        <f t="shared" si="7"/>
        <v>#DIV/0!</v>
      </c>
      <c r="J19" s="709" t="e">
        <f t="shared" si="8"/>
        <v>#DIV/0!</v>
      </c>
      <c r="K19" s="710" t="e">
        <f t="shared" si="9"/>
        <v>#DIV/0!</v>
      </c>
      <c r="L19" s="711" t="e">
        <f t="shared" si="1"/>
        <v>#DIV/0!</v>
      </c>
      <c r="M19" s="712" t="e">
        <f t="shared" si="2"/>
        <v>#DIV/0!</v>
      </c>
      <c r="N19" s="828"/>
      <c r="O19" s="782">
        <v>0.7</v>
      </c>
      <c r="P19" s="783"/>
      <c r="Q19" s="784"/>
      <c r="R19" s="791"/>
      <c r="S19" s="804"/>
      <c r="V19" s="756"/>
      <c r="W19" s="805"/>
    </row>
    <row r="20" spans="1:23" ht="36.75" customHeight="1">
      <c r="A20" s="769"/>
      <c r="B20" s="1164"/>
      <c r="C20" s="741" t="s">
        <v>305</v>
      </c>
      <c r="D20" s="714">
        <v>501</v>
      </c>
      <c r="E20" s="714">
        <v>1</v>
      </c>
      <c r="F20" s="715" t="e">
        <f>'&lt;서식2&gt;면적표'!O18</f>
        <v>#DIV/0!</v>
      </c>
      <c r="G20" s="716" t="e">
        <f t="shared" si="11"/>
        <v>#DIV/0!</v>
      </c>
      <c r="H20" s="717" t="e">
        <f t="shared" si="6"/>
        <v>#DIV/0!</v>
      </c>
      <c r="I20" s="718" t="e">
        <f t="shared" si="7"/>
        <v>#DIV/0!</v>
      </c>
      <c r="J20" s="719" t="e">
        <f t="shared" si="8"/>
        <v>#DIV/0!</v>
      </c>
      <c r="K20" s="720" t="e">
        <f t="shared" si="9"/>
        <v>#DIV/0!</v>
      </c>
      <c r="L20" s="721" t="e">
        <f t="shared" si="1"/>
        <v>#DIV/0!</v>
      </c>
      <c r="M20" s="722" t="e">
        <f>K20*12</f>
        <v>#DIV/0!</v>
      </c>
      <c r="N20" s="829"/>
      <c r="O20" s="788">
        <v>0.33</v>
      </c>
      <c r="P20" s="789"/>
      <c r="Q20" s="790"/>
      <c r="R20" s="791"/>
      <c r="S20" s="804"/>
      <c r="T20" s="756"/>
      <c r="U20" s="756"/>
      <c r="V20" s="756"/>
      <c r="W20" s="805"/>
    </row>
    <row r="21" spans="1:23" ht="36.75" customHeight="1">
      <c r="A21" s="769"/>
      <c r="B21" s="1165"/>
      <c r="C21" s="1158" t="s">
        <v>301</v>
      </c>
      <c r="D21" s="1159"/>
      <c r="E21" s="742">
        <f>SUM(E12:E20)</f>
        <v>9</v>
      </c>
      <c r="F21" s="724" t="e">
        <f>SUM(F12:F20)</f>
        <v>#DIV/0!</v>
      </c>
      <c r="G21" s="743" t="e">
        <f t="shared" ref="G21:J21" si="12">SUM(G12:G20)</f>
        <v>#DIV/0!</v>
      </c>
      <c r="H21" s="744" t="e">
        <f t="shared" si="12"/>
        <v>#DIV/0!</v>
      </c>
      <c r="I21" s="745" t="e">
        <f t="shared" si="12"/>
        <v>#DIV/0!</v>
      </c>
      <c r="J21" s="746" t="e">
        <f t="shared" si="12"/>
        <v>#DIV/0!</v>
      </c>
      <c r="K21" s="540" t="e">
        <f>SUM(K12:K20)</f>
        <v>#DIV/0!</v>
      </c>
      <c r="L21" s="747" t="e">
        <f>K21/F21</f>
        <v>#DIV/0!</v>
      </c>
      <c r="M21" s="747">
        <f>M28*12</f>
        <v>0</v>
      </c>
      <c r="N21" s="832"/>
      <c r="O21" s="806"/>
      <c r="P21" s="807"/>
      <c r="Q21" s="808"/>
      <c r="R21" s="791"/>
      <c r="S21" s="804"/>
      <c r="T21" s="809"/>
    </row>
    <row r="22" spans="1:23" ht="36.75" customHeight="1" thickBot="1">
      <c r="A22" s="769"/>
      <c r="B22" s="1151" t="s">
        <v>306</v>
      </c>
      <c r="C22" s="1152"/>
      <c r="D22" s="1153"/>
      <c r="E22" s="748">
        <f>E11+E21</f>
        <v>12</v>
      </c>
      <c r="F22" s="749" t="e">
        <f>F11+F21</f>
        <v>#DIV/0!</v>
      </c>
      <c r="G22" s="750" t="e">
        <f t="shared" ref="G22:J22" si="13">G11+G21</f>
        <v>#DIV/0!</v>
      </c>
      <c r="H22" s="751" t="e">
        <f t="shared" si="13"/>
        <v>#DIV/0!</v>
      </c>
      <c r="I22" s="752" t="e">
        <f t="shared" si="13"/>
        <v>#DIV/0!</v>
      </c>
      <c r="J22" s="753" t="e">
        <f t="shared" si="13"/>
        <v>#DIV/0!</v>
      </c>
      <c r="K22" s="754" t="e">
        <f>K11+K21</f>
        <v>#DIV/0!</v>
      </c>
      <c r="L22" s="755" t="e">
        <f>K22/F22</f>
        <v>#DIV/0!</v>
      </c>
      <c r="M22" s="154">
        <f>M11+M21</f>
        <v>18000000</v>
      </c>
      <c r="N22" s="833"/>
      <c r="O22" s="810"/>
      <c r="P22" s="811" t="s">
        <v>316</v>
      </c>
      <c r="Q22" s="812"/>
      <c r="R22" s="791"/>
      <c r="S22" s="804"/>
      <c r="T22" s="809"/>
    </row>
    <row r="23" spans="1:23" ht="20.25" customHeight="1" thickBot="1">
      <c r="A23" s="813"/>
      <c r="B23" s="814"/>
      <c r="C23" s="814"/>
      <c r="D23" s="814"/>
      <c r="E23" s="814"/>
      <c r="F23" s="814"/>
      <c r="G23" s="814"/>
      <c r="H23" s="814"/>
      <c r="I23" s="814"/>
      <c r="J23" s="814"/>
      <c r="K23" s="815"/>
      <c r="L23" s="814"/>
      <c r="M23" s="814"/>
      <c r="N23" s="834"/>
      <c r="O23" s="816"/>
      <c r="P23" s="814"/>
      <c r="Q23" s="816"/>
      <c r="R23" s="817"/>
    </row>
    <row r="24" spans="1:23" ht="20.25" customHeight="1">
      <c r="H24" s="866"/>
      <c r="I24" s="836"/>
      <c r="K24" s="818"/>
    </row>
    <row r="25" spans="1:23">
      <c r="K25" s="818"/>
    </row>
    <row r="28" spans="1:23" ht="33" customHeight="1">
      <c r="M28" s="819"/>
      <c r="N28" s="835"/>
    </row>
    <row r="29" spans="1:23" ht="33" customHeight="1"/>
    <row r="30" spans="1:23" ht="33" customHeight="1"/>
    <row r="31" spans="1:23" ht="33" customHeight="1"/>
    <row r="32" spans="1:23" ht="33" customHeight="1"/>
    <row r="33" spans="9:10" ht="33" customHeight="1"/>
    <row r="34" spans="9:10" ht="33" customHeight="1"/>
    <row r="35" spans="9:10" ht="33" customHeight="1"/>
    <row r="36" spans="9:10" ht="33" customHeight="1"/>
    <row r="37" spans="9:10" ht="33" customHeight="1"/>
    <row r="38" spans="9:10" ht="33" customHeight="1">
      <c r="I38" s="1172"/>
      <c r="J38" s="1172"/>
    </row>
    <row r="39" spans="9:10" ht="21" customHeight="1"/>
    <row r="40" spans="9:10" ht="21" customHeight="1"/>
    <row r="41" spans="9:10" ht="21" customHeight="1"/>
    <row r="42" spans="9:10" ht="21" customHeight="1"/>
    <row r="43" spans="9:10" ht="21" customHeight="1"/>
    <row r="44" spans="9:10" ht="21" customHeight="1"/>
    <row r="45" spans="9:10" ht="21" customHeight="1"/>
    <row r="46" spans="9:10" ht="21" customHeight="1"/>
    <row r="47" spans="9:10" ht="21" customHeight="1"/>
    <row r="48" spans="9:10" ht="21" customHeight="1"/>
    <row r="49" spans="8:9" ht="21" customHeight="1"/>
    <row r="50" spans="8:9" ht="21" customHeight="1"/>
    <row r="51" spans="8:9" ht="21" customHeight="1"/>
    <row r="52" spans="8:9" ht="21" customHeight="1">
      <c r="H52" s="820"/>
      <c r="I52" s="820"/>
    </row>
    <row r="53" spans="8:9">
      <c r="H53" s="820"/>
      <c r="I53" s="820"/>
    </row>
    <row r="54" spans="8:9">
      <c r="H54" s="820"/>
      <c r="I54" s="820"/>
    </row>
    <row r="55" spans="8:9">
      <c r="H55" s="820"/>
      <c r="I55" s="820"/>
    </row>
  </sheetData>
  <mergeCells count="18">
    <mergeCell ref="Q6:Q7"/>
    <mergeCell ref="I38:J38"/>
    <mergeCell ref="I6:M6"/>
    <mergeCell ref="B22:D22"/>
    <mergeCell ref="B6:B7"/>
    <mergeCell ref="C6:C7"/>
    <mergeCell ref="D6:D7"/>
    <mergeCell ref="C11:D11"/>
    <mergeCell ref="B8:B11"/>
    <mergeCell ref="C21:D21"/>
    <mergeCell ref="B12:B21"/>
    <mergeCell ref="C4:D4"/>
    <mergeCell ref="E6:E7"/>
    <mergeCell ref="F6:G7"/>
    <mergeCell ref="O6:O7"/>
    <mergeCell ref="P6:P7"/>
    <mergeCell ref="L3:L5"/>
    <mergeCell ref="I4:K4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view="pageBreakPreview" topLeftCell="A7" zoomScale="55" zoomScaleNormal="70" zoomScaleSheetLayoutView="55" workbookViewId="0">
      <selection activeCell="F28" sqref="F28"/>
    </sheetView>
  </sheetViews>
  <sheetFormatPr defaultRowHeight="14.4"/>
  <cols>
    <col min="1" max="1" width="2.796875" customWidth="1"/>
    <col min="2" max="2" width="7.19921875" customWidth="1"/>
    <col min="3" max="3" width="26.3984375" customWidth="1"/>
    <col min="4" max="4" width="19.296875" customWidth="1"/>
    <col min="5" max="5" width="15.296875" customWidth="1"/>
    <col min="6" max="6" width="25.09765625" style="534" customWidth="1"/>
    <col min="7" max="7" width="15.296875" customWidth="1"/>
    <col min="8" max="8" width="19.3984375" customWidth="1"/>
    <col min="9" max="9" width="22" customWidth="1"/>
    <col min="10" max="10" width="11.09765625" customWidth="1"/>
    <col min="11" max="11" width="2.796875" customWidth="1"/>
    <col min="21" max="21" width="18.296875" bestFit="1" customWidth="1"/>
    <col min="24" max="24" width="15.3984375" customWidth="1"/>
  </cols>
  <sheetData>
    <row r="1" spans="1:24" ht="90" customHeight="1" thickBot="1">
      <c r="A1" s="139" t="s">
        <v>104</v>
      </c>
      <c r="B1" s="9"/>
      <c r="C1" s="10"/>
      <c r="D1" s="10"/>
      <c r="E1" s="10"/>
      <c r="F1" s="48"/>
      <c r="G1" s="48"/>
      <c r="H1" s="48"/>
      <c r="I1" s="48"/>
      <c r="J1" s="10"/>
      <c r="K1" s="10"/>
      <c r="L1" s="10"/>
      <c r="M1" s="48"/>
      <c r="N1" s="10"/>
      <c r="O1" s="10"/>
    </row>
    <row r="2" spans="1:24" ht="42" customHeight="1" thickBot="1">
      <c r="A2" s="141"/>
      <c r="B2" s="169" t="s">
        <v>117</v>
      </c>
      <c r="C2" s="142"/>
      <c r="D2" s="142"/>
      <c r="E2" s="142"/>
      <c r="F2" s="142"/>
      <c r="G2" s="142"/>
      <c r="H2" s="142"/>
      <c r="I2" s="142"/>
      <c r="J2" s="142"/>
      <c r="K2" s="143"/>
      <c r="L2" s="48"/>
      <c r="M2" s="48"/>
      <c r="N2" s="48"/>
      <c r="O2" s="48"/>
    </row>
    <row r="3" spans="1:24" ht="19.5" customHeight="1" thickBot="1">
      <c r="A3" s="144"/>
      <c r="B3" s="137"/>
      <c r="C3" s="49"/>
      <c r="D3" s="49"/>
      <c r="E3" s="49"/>
      <c r="F3" s="49"/>
      <c r="G3" s="49"/>
      <c r="H3" s="49"/>
      <c r="I3" s="49"/>
      <c r="J3" s="49"/>
      <c r="K3" s="138"/>
      <c r="L3" s="48"/>
      <c r="M3" s="48"/>
      <c r="N3" s="48"/>
      <c r="O3" s="48"/>
    </row>
    <row r="4" spans="1:24" ht="44.25" customHeight="1">
      <c r="A4" s="144"/>
      <c r="B4" s="1178" t="s">
        <v>116</v>
      </c>
      <c r="C4" s="1179"/>
      <c r="D4" s="1179"/>
      <c r="E4" s="167" t="s">
        <v>114</v>
      </c>
      <c r="F4" s="529" t="s">
        <v>115</v>
      </c>
      <c r="G4" s="167" t="s">
        <v>102</v>
      </c>
      <c r="H4" s="332" t="s">
        <v>266</v>
      </c>
      <c r="I4" s="167" t="s">
        <v>101</v>
      </c>
      <c r="J4" s="168" t="s">
        <v>8</v>
      </c>
      <c r="K4" s="138"/>
      <c r="L4" s="48"/>
      <c r="M4" s="48"/>
      <c r="N4" s="48"/>
      <c r="O4" s="48"/>
    </row>
    <row r="5" spans="1:24" ht="44.25" customHeight="1">
      <c r="A5" s="144"/>
      <c r="B5" s="1180" t="s">
        <v>52</v>
      </c>
      <c r="C5" s="1181"/>
      <c r="D5" s="80" t="e">
        <f>'&lt;서식3&gt;초기사업비 산정'!G53</f>
        <v>#DIV/0!</v>
      </c>
      <c r="E5" s="1176"/>
      <c r="F5" s="1177"/>
      <c r="G5" s="1177"/>
      <c r="H5" s="1177"/>
      <c r="I5" s="308" t="e">
        <f>D5</f>
        <v>#DIV/0!</v>
      </c>
      <c r="J5" s="81" t="e">
        <f t="shared" ref="J5" si="0">I5/$I$6</f>
        <v>#DIV/0!</v>
      </c>
      <c r="K5" s="145"/>
      <c r="L5" s="8"/>
      <c r="M5" s="47"/>
      <c r="N5" s="11"/>
      <c r="O5" s="8"/>
    </row>
    <row r="6" spans="1:24" s="45" customFormat="1" ht="44.25" customHeight="1">
      <c r="A6" s="144"/>
      <c r="B6" s="1180" t="s">
        <v>103</v>
      </c>
      <c r="C6" s="1182"/>
      <c r="D6" s="80">
        <f>I6</f>
        <v>1330000000</v>
      </c>
      <c r="E6" s="80">
        <f>SUM(E7:E11)</f>
        <v>0</v>
      </c>
      <c r="F6" s="80">
        <f>SUM(F7:F11)</f>
        <v>1330000000</v>
      </c>
      <c r="G6" s="505"/>
      <c r="H6" s="505"/>
      <c r="I6" s="80">
        <f>SUM(E6:F6)</f>
        <v>1330000000</v>
      </c>
      <c r="J6" s="81">
        <f>I6/$I$6</f>
        <v>1</v>
      </c>
      <c r="K6" s="145"/>
      <c r="L6" s="47"/>
      <c r="M6" s="47"/>
      <c r="N6" s="50"/>
      <c r="O6" s="47"/>
      <c r="U6" s="202">
        <f>F6*90%</f>
        <v>1197000000</v>
      </c>
      <c r="X6" s="45">
        <v>1197000000</v>
      </c>
    </row>
    <row r="7" spans="1:24" ht="44.25" customHeight="1">
      <c r="A7" s="144"/>
      <c r="B7" s="1185" t="s">
        <v>118</v>
      </c>
      <c r="C7" s="1186"/>
      <c r="D7" s="390" t="e">
        <f>I7/$D$5</f>
        <v>#DIV/0!</v>
      </c>
      <c r="E7" s="935"/>
      <c r="F7" s="933">
        <v>1197000000</v>
      </c>
      <c r="G7" s="506" t="s">
        <v>263</v>
      </c>
      <c r="H7" s="512" t="s">
        <v>269</v>
      </c>
      <c r="I7" s="391">
        <f>SUM(E7:F7)</f>
        <v>1197000000</v>
      </c>
      <c r="J7" s="392">
        <f>I7/$I$6</f>
        <v>0.9</v>
      </c>
      <c r="K7" s="145"/>
      <c r="L7" s="8"/>
      <c r="M7" s="47"/>
      <c r="N7" s="11"/>
      <c r="O7" s="8"/>
      <c r="U7" s="202">
        <f>F6*10%</f>
        <v>133000000</v>
      </c>
      <c r="X7">
        <v>133000000</v>
      </c>
    </row>
    <row r="8" spans="1:24" ht="44.25" customHeight="1">
      <c r="A8" s="144"/>
      <c r="B8" s="1187" t="s">
        <v>80</v>
      </c>
      <c r="C8" s="1188"/>
      <c r="D8" s="397" t="e">
        <f t="shared" ref="D8:D11" si="1">I8/$D$5</f>
        <v>#DIV/0!</v>
      </c>
      <c r="E8" s="934"/>
      <c r="F8" s="934"/>
      <c r="G8" s="510" t="s">
        <v>265</v>
      </c>
      <c r="H8" s="511" t="s">
        <v>268</v>
      </c>
      <c r="I8" s="309">
        <f>SUM(E8:F8)</f>
        <v>0</v>
      </c>
      <c r="J8" s="81">
        <f t="shared" ref="J8:J10" si="2">I8/$I$6</f>
        <v>0</v>
      </c>
      <c r="K8" s="145"/>
      <c r="L8" s="8"/>
      <c r="M8" s="47"/>
      <c r="N8" s="11"/>
      <c r="O8" s="8"/>
    </row>
    <row r="9" spans="1:24" ht="44.25" customHeight="1">
      <c r="A9" s="144"/>
      <c r="B9" s="1189" t="s">
        <v>81</v>
      </c>
      <c r="C9" s="1190"/>
      <c r="D9" s="397" t="e">
        <f t="shared" si="1"/>
        <v>#DIV/0!</v>
      </c>
      <c r="E9" s="934"/>
      <c r="F9" s="934">
        <v>0</v>
      </c>
      <c r="G9" s="507"/>
      <c r="H9" s="507"/>
      <c r="I9" s="309">
        <f t="shared" ref="I9:I16" si="3">SUM(E9:F9)</f>
        <v>0</v>
      </c>
      <c r="J9" s="81">
        <f t="shared" si="2"/>
        <v>0</v>
      </c>
      <c r="K9" s="145"/>
      <c r="L9" s="8"/>
      <c r="M9" s="47"/>
      <c r="N9" s="11"/>
      <c r="O9" s="8"/>
    </row>
    <row r="10" spans="1:24" ht="44.25" customHeight="1">
      <c r="A10" s="146"/>
      <c r="B10" s="1189" t="s">
        <v>88</v>
      </c>
      <c r="C10" s="1190"/>
      <c r="D10" s="397" t="e">
        <f t="shared" si="1"/>
        <v>#DIV/0!</v>
      </c>
      <c r="E10" s="934"/>
      <c r="F10" s="934"/>
      <c r="G10" s="507" t="s">
        <v>264</v>
      </c>
      <c r="H10" s="507" t="s">
        <v>267</v>
      </c>
      <c r="I10" s="309">
        <f t="shared" si="3"/>
        <v>0</v>
      </c>
      <c r="J10" s="81">
        <f t="shared" si="2"/>
        <v>0</v>
      </c>
      <c r="K10" s="147"/>
      <c r="L10" s="72"/>
      <c r="M10" s="72"/>
      <c r="N10" s="73"/>
      <c r="O10" s="74"/>
    </row>
    <row r="11" spans="1:24" ht="44.25" customHeight="1">
      <c r="A11" s="146"/>
      <c r="B11" s="1191" t="s">
        <v>82</v>
      </c>
      <c r="C11" s="1192"/>
      <c r="D11" s="393" t="e">
        <f t="shared" si="1"/>
        <v>#DIV/0!</v>
      </c>
      <c r="E11" s="394">
        <f>SUM(E12:E16)</f>
        <v>0</v>
      </c>
      <c r="F11" s="936">
        <f>SUM(F12:F15)</f>
        <v>133000000</v>
      </c>
      <c r="G11" s="508" t="s">
        <v>262</v>
      </c>
      <c r="H11" s="508"/>
      <c r="I11" s="395">
        <f t="shared" si="3"/>
        <v>133000000</v>
      </c>
      <c r="J11" s="396">
        <f>I11/$I$6</f>
        <v>0.1</v>
      </c>
      <c r="K11" s="147"/>
      <c r="L11" s="72"/>
      <c r="M11" s="72"/>
      <c r="N11" s="73"/>
      <c r="O11" s="74"/>
    </row>
    <row r="12" spans="1:24" ht="44.25" customHeight="1">
      <c r="A12" s="146"/>
      <c r="B12" s="140"/>
      <c r="C12" s="1196" t="s">
        <v>96</v>
      </c>
      <c r="D12" s="1197"/>
      <c r="E12" s="937"/>
      <c r="F12" s="938">
        <v>60000000</v>
      </c>
      <c r="G12" s="502"/>
      <c r="H12" s="502"/>
      <c r="I12" s="683">
        <f>SUM(E12:F12)</f>
        <v>60000000</v>
      </c>
      <c r="J12" s="380"/>
      <c r="K12" s="147"/>
      <c r="L12" s="72"/>
      <c r="M12" s="72"/>
      <c r="N12" s="73"/>
      <c r="O12" s="74"/>
    </row>
    <row r="13" spans="1:24" ht="44.25" customHeight="1">
      <c r="A13" s="146"/>
      <c r="B13" s="383"/>
      <c r="C13" s="1198" t="s">
        <v>97</v>
      </c>
      <c r="D13" s="1199"/>
      <c r="E13" s="939"/>
      <c r="F13" s="940">
        <v>73000000</v>
      </c>
      <c r="G13" s="503"/>
      <c r="H13" s="503"/>
      <c r="I13" s="840">
        <f t="shared" si="3"/>
        <v>73000000</v>
      </c>
      <c r="J13" s="381"/>
      <c r="K13" s="147"/>
      <c r="L13" s="72"/>
      <c r="M13" s="72"/>
      <c r="N13" s="73"/>
      <c r="O13" s="74"/>
    </row>
    <row r="14" spans="1:24" ht="44.25" customHeight="1">
      <c r="A14" s="146"/>
      <c r="B14" s="383"/>
      <c r="C14" s="1198" t="s">
        <v>98</v>
      </c>
      <c r="D14" s="1199"/>
      <c r="E14" s="939"/>
      <c r="F14" s="939"/>
      <c r="G14" s="503"/>
      <c r="H14" s="503"/>
      <c r="I14" s="68">
        <f t="shared" si="3"/>
        <v>0</v>
      </c>
      <c r="J14" s="381"/>
      <c r="K14" s="147"/>
      <c r="L14" s="72"/>
      <c r="M14" s="72"/>
      <c r="N14" s="73"/>
      <c r="O14" s="74"/>
    </row>
    <row r="15" spans="1:24" ht="44.25" customHeight="1">
      <c r="A15" s="146"/>
      <c r="B15" s="383"/>
      <c r="C15" s="1198" t="s">
        <v>99</v>
      </c>
      <c r="D15" s="1199"/>
      <c r="E15" s="939"/>
      <c r="F15" s="939"/>
      <c r="G15" s="503"/>
      <c r="H15" s="503"/>
      <c r="I15" s="68">
        <f t="shared" si="3"/>
        <v>0</v>
      </c>
      <c r="J15" s="381"/>
      <c r="K15" s="147"/>
      <c r="L15" s="72"/>
      <c r="M15" s="72"/>
      <c r="N15" s="73"/>
      <c r="O15" s="74"/>
    </row>
    <row r="16" spans="1:24" ht="44.25" customHeight="1">
      <c r="A16" s="146"/>
      <c r="B16" s="384"/>
      <c r="C16" s="1200" t="s">
        <v>100</v>
      </c>
      <c r="D16" s="1201"/>
      <c r="E16" s="941"/>
      <c r="F16" s="941"/>
      <c r="G16" s="504"/>
      <c r="H16" s="504"/>
      <c r="I16" s="79">
        <f t="shared" si="3"/>
        <v>0</v>
      </c>
      <c r="J16" s="382"/>
      <c r="K16" s="147"/>
      <c r="L16" s="72"/>
      <c r="M16" s="72"/>
      <c r="N16" s="73"/>
      <c r="O16" s="74"/>
    </row>
    <row r="17" spans="1:15" ht="44.25" customHeight="1" thickBot="1">
      <c r="A17" s="146"/>
      <c r="B17" s="1207" t="s">
        <v>112</v>
      </c>
      <c r="C17" s="1208"/>
      <c r="D17" s="1208"/>
      <c r="E17" s="82"/>
      <c r="F17" s="82"/>
      <c r="G17" s="509"/>
      <c r="H17" s="509"/>
      <c r="I17" s="82">
        <f>I7+I8+I9+I10</f>
        <v>1197000000</v>
      </c>
      <c r="J17" s="83">
        <f>J7+J8+J9+J10</f>
        <v>0.9</v>
      </c>
      <c r="K17" s="148"/>
      <c r="L17" s="72"/>
      <c r="M17" s="72"/>
      <c r="N17" s="73"/>
      <c r="O17" s="74"/>
    </row>
    <row r="18" spans="1:15" ht="26.25" customHeight="1" thickBot="1">
      <c r="A18" s="146"/>
      <c r="B18" s="84"/>
      <c r="C18" s="84"/>
      <c r="D18" s="86"/>
      <c r="E18" s="85"/>
      <c r="F18" s="530"/>
      <c r="G18" s="78"/>
      <c r="H18" s="78"/>
      <c r="I18" s="78"/>
      <c r="J18" s="78"/>
      <c r="K18" s="148"/>
      <c r="L18" s="72"/>
      <c r="M18" s="72"/>
      <c r="N18" s="73"/>
      <c r="O18" s="74"/>
    </row>
    <row r="19" spans="1:15" ht="39" customHeight="1">
      <c r="A19" s="146"/>
      <c r="B19" s="1202" t="s">
        <v>119</v>
      </c>
      <c r="C19" s="1203"/>
      <c r="D19" s="1203"/>
      <c r="E19" s="498">
        <v>0.02</v>
      </c>
      <c r="F19" s="1206" t="s">
        <v>120</v>
      </c>
      <c r="G19" s="1206"/>
      <c r="H19" s="1206"/>
      <c r="I19" s="398">
        <v>0.02</v>
      </c>
      <c r="J19" s="78"/>
      <c r="K19" s="148"/>
      <c r="L19" s="72"/>
      <c r="M19" s="72"/>
      <c r="N19" s="73"/>
      <c r="O19" s="74"/>
    </row>
    <row r="20" spans="1:15" ht="39" customHeight="1">
      <c r="A20" s="146"/>
      <c r="B20" s="1204" t="s">
        <v>83</v>
      </c>
      <c r="C20" s="1205"/>
      <c r="D20" s="1205"/>
      <c r="E20" s="499">
        <v>1.7500000000000002E-2</v>
      </c>
      <c r="F20" s="1209" t="s">
        <v>161</v>
      </c>
      <c r="G20" s="1209"/>
      <c r="H20" s="1209"/>
      <c r="I20" s="400">
        <v>1.0999999999999999E-2</v>
      </c>
      <c r="J20" s="78"/>
      <c r="K20" s="148"/>
      <c r="L20" s="72"/>
      <c r="M20" s="72"/>
      <c r="N20" s="73"/>
      <c r="O20" s="74"/>
    </row>
    <row r="21" spans="1:15" ht="39" customHeight="1">
      <c r="A21" s="146"/>
      <c r="B21" s="1183" t="s">
        <v>84</v>
      </c>
      <c r="C21" s="1184"/>
      <c r="D21" s="1184"/>
      <c r="E21" s="499">
        <v>0.02</v>
      </c>
      <c r="F21" s="1210" t="s">
        <v>162</v>
      </c>
      <c r="G21" s="1210"/>
      <c r="H21" s="1210"/>
      <c r="I21" s="513">
        <v>0.02</v>
      </c>
      <c r="J21" s="78"/>
      <c r="K21" s="148"/>
      <c r="L21" s="72"/>
      <c r="M21" s="72"/>
      <c r="N21" s="73"/>
      <c r="O21" s="74"/>
    </row>
    <row r="22" spans="1:15" ht="39" customHeight="1">
      <c r="A22" s="146"/>
      <c r="B22" s="1183" t="s">
        <v>85</v>
      </c>
      <c r="C22" s="1184"/>
      <c r="D22" s="1184"/>
      <c r="E22" s="499">
        <v>2.5000000000000001E-2</v>
      </c>
      <c r="F22" s="1184" t="s">
        <v>121</v>
      </c>
      <c r="G22" s="1184"/>
      <c r="H22" s="1184"/>
      <c r="I22" s="501">
        <v>1.4999999999999999E-2</v>
      </c>
      <c r="J22" s="78"/>
      <c r="K22" s="148"/>
      <c r="L22" s="72"/>
      <c r="M22" s="72"/>
      <c r="N22" s="73"/>
      <c r="O22" s="74"/>
    </row>
    <row r="23" spans="1:15" ht="39" customHeight="1" thickBot="1">
      <c r="A23" s="146"/>
      <c r="B23" s="1195"/>
      <c r="C23" s="1194"/>
      <c r="D23" s="1194"/>
      <c r="E23" s="500"/>
      <c r="F23" s="1194" t="s">
        <v>270</v>
      </c>
      <c r="G23" s="1194"/>
      <c r="H23" s="1194"/>
      <c r="I23" s="399">
        <v>0.05</v>
      </c>
      <c r="J23" s="71"/>
      <c r="K23" s="147"/>
      <c r="L23" s="72"/>
      <c r="M23" s="72"/>
      <c r="N23" s="73"/>
      <c r="O23" s="74"/>
    </row>
    <row r="24" spans="1:15" ht="39" customHeight="1">
      <c r="A24" s="146"/>
      <c r="E24" s="106"/>
      <c r="F24" s="1193" t="s">
        <v>271</v>
      </c>
      <c r="G24" s="1193"/>
      <c r="H24" s="1193"/>
      <c r="I24" s="514" t="s">
        <v>272</v>
      </c>
      <c r="J24" s="71"/>
      <c r="K24" s="147"/>
      <c r="L24" s="72"/>
      <c r="M24" s="72"/>
      <c r="N24" s="73"/>
      <c r="O24" s="74"/>
    </row>
    <row r="25" spans="1:15" ht="39" customHeight="1">
      <c r="A25" s="146"/>
      <c r="E25" s="106"/>
      <c r="F25" s="531"/>
      <c r="G25" s="70"/>
      <c r="H25" s="70"/>
      <c r="I25" s="70"/>
      <c r="J25" s="71"/>
      <c r="K25" s="147"/>
      <c r="L25" s="72"/>
      <c r="M25" s="72"/>
      <c r="N25" s="73"/>
      <c r="O25" s="74"/>
    </row>
    <row r="26" spans="1:15" ht="39" customHeight="1">
      <c r="A26" s="146"/>
      <c r="E26" s="106"/>
      <c r="F26" s="531"/>
      <c r="G26" s="70"/>
      <c r="H26" s="70"/>
      <c r="I26" s="70"/>
      <c r="J26" s="71"/>
      <c r="K26" s="147"/>
      <c r="L26" s="72"/>
      <c r="M26" s="72"/>
      <c r="N26" s="73"/>
      <c r="O26" s="74"/>
    </row>
    <row r="27" spans="1:15" s="29" customFormat="1" ht="18" customHeight="1" thickBot="1">
      <c r="A27" s="149"/>
      <c r="B27" s="199"/>
      <c r="C27" s="199"/>
      <c r="D27" s="199"/>
      <c r="E27" s="200"/>
      <c r="F27" s="532"/>
      <c r="G27" s="150"/>
      <c r="H27" s="150"/>
      <c r="I27" s="150"/>
      <c r="J27" s="151"/>
      <c r="K27" s="152"/>
      <c r="L27" s="72"/>
      <c r="M27" s="72"/>
      <c r="N27" s="73"/>
      <c r="O27" s="74"/>
    </row>
    <row r="28" spans="1:15" s="45" customFormat="1" ht="18" customHeight="1">
      <c r="A28" s="78"/>
      <c r="B28" s="87"/>
      <c r="C28" s="87"/>
      <c r="D28" s="87"/>
      <c r="E28" s="194"/>
      <c r="F28" s="867"/>
      <c r="G28" s="70"/>
      <c r="H28" s="70"/>
      <c r="I28" s="70"/>
      <c r="J28" s="71"/>
      <c r="K28" s="153"/>
      <c r="L28" s="72"/>
      <c r="M28" s="72"/>
      <c r="N28" s="73"/>
      <c r="O28" s="74"/>
    </row>
    <row r="29" spans="1:15" s="45" customFormat="1" ht="18" customHeight="1">
      <c r="A29" s="78"/>
      <c r="B29" s="87"/>
      <c r="C29" s="87"/>
      <c r="D29" s="87"/>
      <c r="E29" s="194"/>
      <c r="F29" s="533"/>
      <c r="G29" s="70"/>
      <c r="H29" s="70"/>
      <c r="I29" s="70"/>
      <c r="J29" s="71"/>
      <c r="K29" s="153"/>
      <c r="L29" s="72"/>
      <c r="M29" s="72"/>
      <c r="N29" s="73"/>
      <c r="O29" s="74"/>
    </row>
    <row r="30" spans="1:15" s="45" customFormat="1" ht="18" customHeight="1">
      <c r="A30" s="78"/>
      <c r="B30" s="87"/>
      <c r="C30" s="87"/>
      <c r="D30" s="87"/>
      <c r="F30" s="534"/>
      <c r="G30" s="70"/>
      <c r="H30" s="70"/>
      <c r="I30" s="70"/>
      <c r="J30" s="71"/>
      <c r="K30" s="153"/>
      <c r="L30" s="72"/>
      <c r="M30" s="72"/>
      <c r="N30" s="73"/>
      <c r="O30" s="74"/>
    </row>
    <row r="31" spans="1:15" s="45" customFormat="1" ht="18" customHeight="1">
      <c r="A31" s="78"/>
      <c r="B31" s="87"/>
      <c r="C31" s="87"/>
      <c r="D31" s="87"/>
      <c r="F31" s="534"/>
      <c r="G31" s="70"/>
      <c r="H31" s="70"/>
      <c r="I31" s="70"/>
      <c r="J31" s="71"/>
      <c r="K31" s="153"/>
      <c r="L31" s="72"/>
      <c r="M31" s="72"/>
      <c r="N31" s="73"/>
      <c r="O31" s="74"/>
    </row>
    <row r="32" spans="1:15" s="45" customFormat="1" ht="18" customHeight="1">
      <c r="A32" s="78"/>
      <c r="B32" s="87"/>
      <c r="C32" s="87"/>
      <c r="D32" s="87"/>
      <c r="F32" s="534"/>
      <c r="G32" s="70"/>
      <c r="H32" s="70"/>
      <c r="I32" s="70"/>
      <c r="J32" s="71"/>
      <c r="K32" s="153"/>
      <c r="L32" s="72"/>
      <c r="M32" s="72"/>
      <c r="N32" s="73"/>
      <c r="O32" s="74"/>
    </row>
    <row r="33" spans="1:15" s="45" customFormat="1" ht="18" customHeight="1">
      <c r="A33" s="78"/>
      <c r="B33" s="87"/>
      <c r="C33" s="87"/>
      <c r="D33" s="87"/>
      <c r="F33" s="534"/>
      <c r="G33" s="70"/>
      <c r="H33" s="70"/>
      <c r="I33" s="70"/>
      <c r="J33" s="71"/>
      <c r="K33" s="153"/>
      <c r="L33" s="72"/>
      <c r="M33" s="72"/>
      <c r="N33" s="73"/>
      <c r="O33" s="74"/>
    </row>
    <row r="34" spans="1:15" s="45" customFormat="1" ht="18" customHeight="1">
      <c r="A34" s="78"/>
      <c r="B34" s="87"/>
      <c r="C34" s="87"/>
      <c r="D34" s="87"/>
      <c r="F34" s="534"/>
      <c r="G34" s="70"/>
      <c r="H34" s="70"/>
      <c r="I34" s="70"/>
      <c r="J34" s="71"/>
      <c r="K34" s="153"/>
      <c r="L34" s="72"/>
      <c r="M34" s="72"/>
      <c r="N34" s="73"/>
      <c r="O34" s="74"/>
    </row>
    <row r="35" spans="1:15" s="45" customFormat="1" ht="18" customHeight="1">
      <c r="A35" s="78"/>
      <c r="B35" s="87"/>
      <c r="C35" s="87"/>
      <c r="D35" s="87"/>
      <c r="F35" s="534"/>
      <c r="G35" s="70"/>
      <c r="H35" s="70"/>
      <c r="I35" s="70"/>
      <c r="J35" s="71"/>
      <c r="K35" s="153"/>
      <c r="L35" s="72"/>
      <c r="M35" s="72"/>
      <c r="N35" s="73"/>
      <c r="O35" s="74"/>
    </row>
    <row r="36" spans="1:15" s="45" customFormat="1" ht="18" customHeight="1">
      <c r="A36" s="78"/>
      <c r="B36" s="87"/>
      <c r="C36" s="87"/>
      <c r="D36" s="87"/>
      <c r="F36" s="534"/>
      <c r="G36" s="70"/>
      <c r="H36" s="70"/>
      <c r="I36" s="70"/>
      <c r="J36" s="71"/>
      <c r="K36" s="153"/>
      <c r="L36" s="72"/>
      <c r="M36" s="72"/>
      <c r="N36" s="73"/>
      <c r="O36" s="74"/>
    </row>
    <row r="37" spans="1:15" s="45" customFormat="1" ht="18" customHeight="1">
      <c r="A37" s="78"/>
      <c r="B37" s="87"/>
      <c r="C37" s="87"/>
      <c r="D37" s="87"/>
      <c r="F37" s="534"/>
      <c r="G37" s="70"/>
      <c r="H37" s="70"/>
      <c r="I37" s="70"/>
      <c r="J37" s="71"/>
      <c r="K37" s="153"/>
      <c r="L37" s="72"/>
      <c r="M37" s="72"/>
      <c r="N37" s="73"/>
      <c r="O37" s="74"/>
    </row>
    <row r="38" spans="1:15" s="45" customFormat="1" ht="18" customHeight="1">
      <c r="A38" s="78"/>
      <c r="B38" s="87"/>
      <c r="C38" s="87"/>
      <c r="D38" s="87"/>
      <c r="F38" s="534"/>
      <c r="G38" s="70"/>
      <c r="H38" s="70"/>
      <c r="I38" s="70"/>
      <c r="J38" s="71"/>
      <c r="K38" s="153"/>
      <c r="L38" s="72"/>
      <c r="M38" s="72"/>
      <c r="N38" s="73"/>
      <c r="O38" s="74"/>
    </row>
    <row r="39" spans="1:15" s="45" customFormat="1" ht="18" customHeight="1">
      <c r="A39" s="78"/>
      <c r="B39" s="87"/>
      <c r="C39" s="87"/>
      <c r="D39" s="87"/>
      <c r="F39" s="534"/>
      <c r="G39" s="70"/>
      <c r="H39" s="70"/>
      <c r="I39" s="70"/>
      <c r="J39" s="71"/>
      <c r="K39" s="153"/>
      <c r="L39" s="72"/>
      <c r="M39" s="72"/>
      <c r="N39" s="73"/>
      <c r="O39" s="74"/>
    </row>
    <row r="40" spans="1:15" s="45" customFormat="1" ht="18" customHeight="1">
      <c r="A40" s="78"/>
      <c r="B40" s="87"/>
      <c r="C40" s="87"/>
      <c r="D40" s="87"/>
      <c r="F40" s="534"/>
      <c r="G40" s="70"/>
      <c r="H40" s="70"/>
      <c r="I40" s="70"/>
      <c r="J40" s="71"/>
      <c r="K40" s="153"/>
      <c r="L40" s="72"/>
      <c r="M40" s="72"/>
      <c r="N40" s="73"/>
      <c r="O40" s="74"/>
    </row>
    <row r="41" spans="1:15" ht="18" customHeight="1"/>
    <row r="42" spans="1:15" ht="18" customHeight="1"/>
    <row r="43" spans="1:15" ht="18" customHeight="1"/>
    <row r="44" spans="1:15" ht="18" customHeight="1"/>
    <row r="45" spans="1:15" ht="18" customHeight="1"/>
    <row r="46" spans="1:15" ht="18" customHeight="1"/>
    <row r="47" spans="1:15" ht="18" customHeight="1"/>
    <row r="48" spans="1:15" ht="18" customHeight="1"/>
    <row r="49" spans="5:6" ht="18" customHeight="1"/>
    <row r="50" spans="5:6" ht="18" customHeight="1">
      <c r="E50" s="274"/>
      <c r="F50" s="535"/>
    </row>
    <row r="51" spans="5:6" ht="18" customHeight="1"/>
    <row r="52" spans="5:6" ht="18" customHeight="1">
      <c r="F52" s="536"/>
    </row>
    <row r="53" spans="5:6" ht="18" customHeight="1"/>
  </sheetData>
  <mergeCells count="26">
    <mergeCell ref="F24:H24"/>
    <mergeCell ref="F23:H23"/>
    <mergeCell ref="B23:D23"/>
    <mergeCell ref="F22:H22"/>
    <mergeCell ref="C12:D12"/>
    <mergeCell ref="C13:D13"/>
    <mergeCell ref="C14:D14"/>
    <mergeCell ref="C15:D15"/>
    <mergeCell ref="C16:D16"/>
    <mergeCell ref="B19:D19"/>
    <mergeCell ref="B20:D20"/>
    <mergeCell ref="B22:D22"/>
    <mergeCell ref="F19:H19"/>
    <mergeCell ref="B17:D17"/>
    <mergeCell ref="F20:H20"/>
    <mergeCell ref="F21:H21"/>
    <mergeCell ref="E5:H5"/>
    <mergeCell ref="B4:D4"/>
    <mergeCell ref="B5:C5"/>
    <mergeCell ref="B6:C6"/>
    <mergeCell ref="B21:D21"/>
    <mergeCell ref="B7:C7"/>
    <mergeCell ref="B8:C8"/>
    <mergeCell ref="B9:C9"/>
    <mergeCell ref="B10:C10"/>
    <mergeCell ref="B11:C11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0"/>
  <sheetViews>
    <sheetView showGridLines="0" view="pageBreakPreview" zoomScale="70" zoomScaleNormal="70" zoomScaleSheetLayoutView="7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J49" sqref="J49"/>
    </sheetView>
  </sheetViews>
  <sheetFormatPr defaultColWidth="8.796875" defaultRowHeight="13.8"/>
  <cols>
    <col min="1" max="1" width="2.796875" style="571" customWidth="1"/>
    <col min="2" max="2" width="2.796875" style="597" customWidth="1"/>
    <col min="3" max="3" width="7.69921875" style="597" customWidth="1"/>
    <col min="4" max="4" width="15.796875" style="597" bestFit="1" customWidth="1"/>
    <col min="5" max="5" width="22.59765625" style="597" bestFit="1" customWidth="1"/>
    <col min="6" max="6" width="17.5" style="597" bestFit="1" customWidth="1"/>
    <col min="7" max="7" width="12.09765625" style="597" bestFit="1" customWidth="1"/>
    <col min="8" max="8" width="11.19921875" style="597" bestFit="1" customWidth="1"/>
    <col min="9" max="9" width="13.8984375" style="597" bestFit="1" customWidth="1"/>
    <col min="10" max="10" width="15.796875" style="569" bestFit="1" customWidth="1"/>
    <col min="11" max="11" width="14.09765625" style="597" customWidth="1"/>
    <col min="12" max="12" width="13.796875" style="569" customWidth="1"/>
    <col min="13" max="13" width="12.796875" style="569" customWidth="1"/>
    <col min="14" max="14" width="14" style="599" customWidth="1"/>
    <col min="15" max="15" width="13.796875" style="569" customWidth="1"/>
    <col min="16" max="16" width="2.796875" style="569" customWidth="1"/>
    <col min="17" max="17" width="15.296875" style="596" customWidth="1"/>
    <col min="18" max="21" width="16.69921875" style="569" customWidth="1"/>
    <col min="22" max="22" width="15.69921875" style="569" bestFit="1" customWidth="1"/>
    <col min="23" max="23" width="23" style="569" customWidth="1"/>
    <col min="24" max="24" width="21.69921875" style="569" customWidth="1"/>
    <col min="25" max="25" width="28.69921875" style="569" customWidth="1"/>
    <col min="26" max="27" width="16.69921875" style="569" customWidth="1"/>
    <col min="28" max="28" width="16.69921875" style="571" customWidth="1"/>
    <col min="29" max="29" width="16.69921875" style="570" customWidth="1"/>
    <col min="30" max="31" width="16.69921875" style="571" customWidth="1"/>
    <col min="32" max="32" width="21.69921875" style="571" customWidth="1"/>
    <col min="33" max="16384" width="8.796875" style="571"/>
  </cols>
  <sheetData>
    <row r="1" spans="1:30" s="541" customFormat="1" ht="15" thickBot="1">
      <c r="P1" s="542"/>
      <c r="Q1" s="543"/>
      <c r="R1" s="544"/>
      <c r="S1" s="544"/>
      <c r="T1" s="544"/>
      <c r="U1" s="544"/>
      <c r="V1" s="545"/>
      <c r="W1" s="545"/>
      <c r="X1" s="546"/>
      <c r="Y1" s="547"/>
      <c r="Z1" s="548"/>
      <c r="AA1" s="548"/>
      <c r="AB1" s="549"/>
      <c r="AC1" s="550"/>
    </row>
    <row r="2" spans="1:30" s="541" customFormat="1" ht="43.5" customHeight="1" thickBot="1">
      <c r="A2" s="841"/>
      <c r="B2" s="842" t="s">
        <v>319</v>
      </c>
      <c r="C2" s="843"/>
      <c r="D2" s="844"/>
      <c r="E2" s="551"/>
      <c r="F2" s="551"/>
      <c r="G2" s="551"/>
      <c r="H2" s="551"/>
      <c r="I2" s="552"/>
      <c r="J2" s="553"/>
      <c r="K2" s="553"/>
      <c r="L2" s="553"/>
      <c r="M2" s="553"/>
      <c r="N2" s="554"/>
      <c r="O2" s="555"/>
      <c r="P2" s="556"/>
      <c r="Q2" s="543"/>
      <c r="R2" s="544"/>
      <c r="S2" s="544"/>
      <c r="T2" s="544"/>
      <c r="U2" s="544"/>
      <c r="V2" s="545"/>
      <c r="W2" s="545"/>
      <c r="X2" s="546"/>
      <c r="Y2" s="547"/>
      <c r="Z2" s="548"/>
      <c r="AA2" s="548"/>
      <c r="AB2" s="549"/>
      <c r="AC2" s="550"/>
    </row>
    <row r="3" spans="1:30" s="541" customFormat="1" ht="19.5" customHeight="1" thickBot="1">
      <c r="A3" s="557"/>
      <c r="B3" s="558"/>
      <c r="C3" s="559"/>
      <c r="D3" s="560"/>
      <c r="E3" s="560"/>
      <c r="F3" s="560"/>
      <c r="G3" s="560"/>
      <c r="H3" s="560"/>
      <c r="I3" s="561"/>
      <c r="J3" s="562"/>
      <c r="K3" s="562"/>
      <c r="L3" s="562"/>
      <c r="M3" s="562"/>
      <c r="N3" s="563"/>
      <c r="O3" s="564"/>
      <c r="P3" s="565"/>
      <c r="Q3" s="543"/>
      <c r="R3" s="544"/>
      <c r="S3" s="544"/>
      <c r="T3" s="544"/>
      <c r="U3" s="544"/>
      <c r="V3" s="545"/>
      <c r="W3" s="545"/>
      <c r="X3" s="546"/>
      <c r="Y3" s="547"/>
      <c r="Z3" s="548"/>
      <c r="AA3" s="548"/>
      <c r="AB3" s="549"/>
      <c r="AC3" s="550"/>
    </row>
    <row r="4" spans="1:30" ht="33.75" customHeight="1">
      <c r="A4" s="566"/>
      <c r="B4" s="1211" t="s">
        <v>57</v>
      </c>
      <c r="C4" s="1213" t="s">
        <v>53</v>
      </c>
      <c r="D4" s="1217" t="s">
        <v>166</v>
      </c>
      <c r="E4" s="1221" t="s">
        <v>176</v>
      </c>
      <c r="F4" s="1219"/>
      <c r="G4" s="1219"/>
      <c r="H4" s="1219"/>
      <c r="I4" s="1219"/>
      <c r="J4" s="1222"/>
      <c r="K4" s="567"/>
      <c r="L4" s="1219" t="s">
        <v>178</v>
      </c>
      <c r="M4" s="1219"/>
      <c r="N4" s="1219"/>
      <c r="O4" s="1220"/>
      <c r="P4" s="568"/>
      <c r="Q4" s="1215" t="s">
        <v>261</v>
      </c>
      <c r="AB4" s="569"/>
      <c r="AC4" s="569"/>
      <c r="AD4" s="570"/>
    </row>
    <row r="5" spans="1:30" s="579" customFormat="1" ht="45" customHeight="1">
      <c r="A5" s="572"/>
      <c r="B5" s="1212"/>
      <c r="C5" s="1214"/>
      <c r="D5" s="1218"/>
      <c r="E5" s="573" t="s">
        <v>244</v>
      </c>
      <c r="F5" s="573" t="s">
        <v>245</v>
      </c>
      <c r="G5" s="573" t="s">
        <v>81</v>
      </c>
      <c r="H5" s="573" t="s">
        <v>246</v>
      </c>
      <c r="I5" s="573" t="s">
        <v>247</v>
      </c>
      <c r="J5" s="574" t="s">
        <v>167</v>
      </c>
      <c r="K5" s="575" t="s">
        <v>282</v>
      </c>
      <c r="L5" s="574" t="s">
        <v>87</v>
      </c>
      <c r="M5" s="574" t="s">
        <v>379</v>
      </c>
      <c r="N5" s="576" t="s">
        <v>177</v>
      </c>
      <c r="O5" s="577" t="s">
        <v>167</v>
      </c>
      <c r="P5" s="578"/>
      <c r="Q5" s="1216"/>
    </row>
    <row r="6" spans="1:30" s="582" customFormat="1" ht="40.5" customHeight="1">
      <c r="A6" s="851"/>
      <c r="B6" s="847">
        <v>0</v>
      </c>
      <c r="C6" s="942" t="s">
        <v>169</v>
      </c>
      <c r="D6" s="238">
        <f t="shared" ref="D6:D46" si="0">J6+O6+L6+M6</f>
        <v>1330000000</v>
      </c>
      <c r="E6" s="219">
        <f>'&lt;서식5&gt;재원조달계획'!I7</f>
        <v>1197000000</v>
      </c>
      <c r="F6" s="219">
        <f>'&lt;서식5&gt;재원조달계획'!I8</f>
        <v>0</v>
      </c>
      <c r="G6" s="219">
        <f>'&lt;서식5&gt;재원조달계획'!I9</f>
        <v>0</v>
      </c>
      <c r="H6" s="219">
        <f>'&lt;서식5&gt;재원조달계획'!I10</f>
        <v>0</v>
      </c>
      <c r="I6" s="219">
        <f>'&lt;서식5&gt;재원조달계획'!I11</f>
        <v>133000000</v>
      </c>
      <c r="J6" s="237">
        <f>SUM(E6:I6)</f>
        <v>1330000000</v>
      </c>
      <c r="K6" s="220"/>
      <c r="L6" s="221">
        <f>K6*0.9</f>
        <v>0</v>
      </c>
      <c r="M6" s="221"/>
      <c r="N6" s="218"/>
      <c r="O6" s="234">
        <f t="shared" ref="O6:O46" si="1">SUM(N6:N6)</f>
        <v>0</v>
      </c>
      <c r="P6" s="580"/>
      <c r="Q6" s="581">
        <f>'&lt;서식5&gt;재원조달계획'!I23</f>
        <v>0.05</v>
      </c>
    </row>
    <row r="7" spans="1:30" ht="30" customHeight="1">
      <c r="A7" s="685"/>
      <c r="B7" s="848">
        <v>1</v>
      </c>
      <c r="C7" s="943" t="s">
        <v>378</v>
      </c>
      <c r="D7" s="238" t="e">
        <f t="shared" si="0"/>
        <v>#DIV/0!</v>
      </c>
      <c r="E7" s="166"/>
      <c r="F7" s="166"/>
      <c r="G7" s="166"/>
      <c r="H7" s="166"/>
      <c r="I7" s="166"/>
      <c r="J7" s="222">
        <f t="shared" ref="J7:J46" si="2">SUM(E7:I7)</f>
        <v>0</v>
      </c>
      <c r="K7" s="166" t="e">
        <f>'&lt;서식4&gt;임대료 산출'!J22</f>
        <v>#DIV/0!</v>
      </c>
      <c r="L7" s="68" t="e">
        <f t="shared" ref="L7:L45" si="3">K7-K6</f>
        <v>#DIV/0!</v>
      </c>
      <c r="M7" s="68"/>
      <c r="N7" s="166">
        <f>'&lt;서식4&gt;임대료 산출'!M22*8/12</f>
        <v>12000000</v>
      </c>
      <c r="O7" s="235">
        <f t="shared" si="1"/>
        <v>12000000</v>
      </c>
      <c r="P7" s="568"/>
      <c r="Q7" s="583">
        <v>0</v>
      </c>
      <c r="AB7" s="569"/>
      <c r="AC7" s="569"/>
      <c r="AD7" s="570"/>
    </row>
    <row r="8" spans="1:30" ht="30" customHeight="1">
      <c r="A8" s="685"/>
      <c r="B8" s="848">
        <v>2</v>
      </c>
      <c r="C8" s="158">
        <f>2020</f>
        <v>2020</v>
      </c>
      <c r="D8" s="238" t="e">
        <f t="shared" si="0"/>
        <v>#DIV/0!</v>
      </c>
      <c r="E8" s="166"/>
      <c r="F8" s="166"/>
      <c r="G8" s="166"/>
      <c r="H8" s="166"/>
      <c r="I8" s="166"/>
      <c r="J8" s="222">
        <f t="shared" si="2"/>
        <v>0</v>
      </c>
      <c r="K8" s="166" t="e">
        <f t="shared" ref="K8:K46" si="4">K7+(K7*Q8)</f>
        <v>#DIV/0!</v>
      </c>
      <c r="L8" s="68" t="e">
        <f t="shared" si="3"/>
        <v>#DIV/0!</v>
      </c>
      <c r="M8" s="68"/>
      <c r="N8" s="68">
        <f>'&lt;서식4&gt;임대료 산출'!M22*(1+Q8)</f>
        <v>18000000</v>
      </c>
      <c r="O8" s="235">
        <f t="shared" si="1"/>
        <v>18000000</v>
      </c>
      <c r="P8" s="568"/>
      <c r="Q8" s="583">
        <v>0</v>
      </c>
      <c r="AB8" s="569"/>
      <c r="AC8" s="569"/>
      <c r="AD8" s="570"/>
    </row>
    <row r="9" spans="1:30" ht="30" customHeight="1">
      <c r="A9" s="685"/>
      <c r="B9" s="848">
        <v>3</v>
      </c>
      <c r="C9" s="158">
        <f t="shared" ref="C9:C46" si="5">C8+1</f>
        <v>2021</v>
      </c>
      <c r="D9" s="238" t="e">
        <f t="shared" si="0"/>
        <v>#DIV/0!</v>
      </c>
      <c r="E9" s="166"/>
      <c r="F9" s="166"/>
      <c r="G9" s="166"/>
      <c r="H9" s="166"/>
      <c r="I9" s="166"/>
      <c r="J9" s="222">
        <f t="shared" si="2"/>
        <v>0</v>
      </c>
      <c r="K9" s="166" t="e">
        <f t="shared" si="4"/>
        <v>#DIV/0!</v>
      </c>
      <c r="L9" s="68" t="e">
        <f t="shared" si="3"/>
        <v>#DIV/0!</v>
      </c>
      <c r="M9" s="68"/>
      <c r="N9" s="68">
        <f t="shared" ref="N9:N46" si="6">N8*(1+Q9)</f>
        <v>18180000</v>
      </c>
      <c r="O9" s="235">
        <f t="shared" si="1"/>
        <v>18180000</v>
      </c>
      <c r="P9" s="568"/>
      <c r="Q9" s="583">
        <v>0.01</v>
      </c>
      <c r="AB9" s="569"/>
      <c r="AC9" s="569"/>
      <c r="AD9" s="570"/>
    </row>
    <row r="10" spans="1:30" ht="30" customHeight="1">
      <c r="A10" s="685"/>
      <c r="B10" s="848">
        <v>4</v>
      </c>
      <c r="C10" s="158">
        <f t="shared" si="5"/>
        <v>2022</v>
      </c>
      <c r="D10" s="238" t="e">
        <f t="shared" si="0"/>
        <v>#DIV/0!</v>
      </c>
      <c r="E10" s="166"/>
      <c r="F10" s="166"/>
      <c r="G10" s="166"/>
      <c r="H10" s="166"/>
      <c r="I10" s="166"/>
      <c r="J10" s="222">
        <f t="shared" si="2"/>
        <v>0</v>
      </c>
      <c r="K10" s="166" t="e">
        <f t="shared" si="4"/>
        <v>#DIV/0!</v>
      </c>
      <c r="L10" s="68" t="e">
        <f t="shared" si="3"/>
        <v>#DIV/0!</v>
      </c>
      <c r="M10" s="68"/>
      <c r="N10" s="68">
        <f t="shared" si="6"/>
        <v>18180000</v>
      </c>
      <c r="O10" s="235">
        <f t="shared" si="1"/>
        <v>18180000</v>
      </c>
      <c r="P10" s="568"/>
      <c r="Q10" s="583">
        <v>0</v>
      </c>
      <c r="AB10" s="569"/>
      <c r="AC10" s="569"/>
      <c r="AD10" s="570"/>
    </row>
    <row r="11" spans="1:30" ht="30" customHeight="1">
      <c r="A11" s="685"/>
      <c r="B11" s="848">
        <v>5</v>
      </c>
      <c r="C11" s="158">
        <f t="shared" si="5"/>
        <v>2023</v>
      </c>
      <c r="D11" s="238" t="e">
        <f t="shared" si="0"/>
        <v>#DIV/0!</v>
      </c>
      <c r="E11" s="166"/>
      <c r="F11" s="166"/>
      <c r="G11" s="166"/>
      <c r="H11" s="166"/>
      <c r="I11" s="166"/>
      <c r="J11" s="222">
        <f t="shared" si="2"/>
        <v>0</v>
      </c>
      <c r="K11" s="166" t="e">
        <f t="shared" si="4"/>
        <v>#DIV/0!</v>
      </c>
      <c r="L11" s="68" t="e">
        <f t="shared" si="3"/>
        <v>#DIV/0!</v>
      </c>
      <c r="M11" s="68"/>
      <c r="N11" s="68">
        <f t="shared" si="6"/>
        <v>18361800</v>
      </c>
      <c r="O11" s="235">
        <f t="shared" si="1"/>
        <v>18361800</v>
      </c>
      <c r="P11" s="568"/>
      <c r="Q11" s="583">
        <v>0.01</v>
      </c>
      <c r="AB11" s="569"/>
      <c r="AC11" s="569"/>
      <c r="AD11" s="570"/>
    </row>
    <row r="12" spans="1:30" ht="30" customHeight="1">
      <c r="A12" s="685"/>
      <c r="B12" s="848">
        <v>6</v>
      </c>
      <c r="C12" s="158">
        <f t="shared" si="5"/>
        <v>2024</v>
      </c>
      <c r="D12" s="238" t="e">
        <f t="shared" si="0"/>
        <v>#DIV/0!</v>
      </c>
      <c r="E12" s="166"/>
      <c r="F12" s="166"/>
      <c r="G12" s="166"/>
      <c r="H12" s="166"/>
      <c r="I12" s="166"/>
      <c r="J12" s="222">
        <f t="shared" si="2"/>
        <v>0</v>
      </c>
      <c r="K12" s="166" t="e">
        <f t="shared" si="4"/>
        <v>#DIV/0!</v>
      </c>
      <c r="L12" s="68" t="e">
        <f t="shared" si="3"/>
        <v>#DIV/0!</v>
      </c>
      <c r="M12" s="68"/>
      <c r="N12" s="68">
        <f t="shared" si="6"/>
        <v>18361800</v>
      </c>
      <c r="O12" s="235">
        <f t="shared" si="1"/>
        <v>18361800</v>
      </c>
      <c r="P12" s="568"/>
      <c r="Q12" s="583">
        <v>0</v>
      </c>
      <c r="AB12" s="569"/>
      <c r="AC12" s="569"/>
      <c r="AD12" s="570"/>
    </row>
    <row r="13" spans="1:30" ht="30" customHeight="1">
      <c r="A13" s="685"/>
      <c r="B13" s="848">
        <v>7</v>
      </c>
      <c r="C13" s="158">
        <f t="shared" si="5"/>
        <v>2025</v>
      </c>
      <c r="D13" s="238" t="e">
        <f t="shared" si="0"/>
        <v>#DIV/0!</v>
      </c>
      <c r="E13" s="166"/>
      <c r="F13" s="166"/>
      <c r="G13" s="166"/>
      <c r="H13" s="166"/>
      <c r="I13" s="166"/>
      <c r="J13" s="222">
        <f t="shared" si="2"/>
        <v>0</v>
      </c>
      <c r="K13" s="166" t="e">
        <f t="shared" si="4"/>
        <v>#DIV/0!</v>
      </c>
      <c r="L13" s="68" t="e">
        <f t="shared" si="3"/>
        <v>#DIV/0!</v>
      </c>
      <c r="M13" s="68"/>
      <c r="N13" s="68">
        <f t="shared" si="6"/>
        <v>18729036</v>
      </c>
      <c r="O13" s="235">
        <f t="shared" si="1"/>
        <v>18729036</v>
      </c>
      <c r="P13" s="568"/>
      <c r="Q13" s="583">
        <v>0.02</v>
      </c>
      <c r="AB13" s="569"/>
      <c r="AC13" s="569"/>
      <c r="AD13" s="570"/>
    </row>
    <row r="14" spans="1:30" ht="30" customHeight="1">
      <c r="A14" s="685"/>
      <c r="B14" s="848">
        <v>8</v>
      </c>
      <c r="C14" s="158">
        <f t="shared" si="5"/>
        <v>2026</v>
      </c>
      <c r="D14" s="238" t="e">
        <f t="shared" si="0"/>
        <v>#DIV/0!</v>
      </c>
      <c r="E14" s="166"/>
      <c r="F14" s="166"/>
      <c r="G14" s="166"/>
      <c r="H14" s="166"/>
      <c r="I14" s="166"/>
      <c r="J14" s="222">
        <f t="shared" si="2"/>
        <v>0</v>
      </c>
      <c r="K14" s="166" t="e">
        <f t="shared" si="4"/>
        <v>#DIV/0!</v>
      </c>
      <c r="L14" s="68" t="e">
        <f t="shared" si="3"/>
        <v>#DIV/0!</v>
      </c>
      <c r="M14" s="68"/>
      <c r="N14" s="68">
        <f t="shared" si="6"/>
        <v>18729036</v>
      </c>
      <c r="O14" s="235">
        <f t="shared" si="1"/>
        <v>18729036</v>
      </c>
      <c r="P14" s="568"/>
      <c r="Q14" s="583">
        <v>0</v>
      </c>
      <c r="AB14" s="569"/>
      <c r="AC14" s="569"/>
      <c r="AD14" s="570"/>
    </row>
    <row r="15" spans="1:30" ht="30" customHeight="1">
      <c r="A15" s="685"/>
      <c r="B15" s="848">
        <v>9</v>
      </c>
      <c r="C15" s="158">
        <f t="shared" si="5"/>
        <v>2027</v>
      </c>
      <c r="D15" s="238" t="e">
        <f t="shared" si="0"/>
        <v>#DIV/0!</v>
      </c>
      <c r="E15" s="166"/>
      <c r="F15" s="166"/>
      <c r="G15" s="166"/>
      <c r="H15" s="166"/>
      <c r="I15" s="166"/>
      <c r="J15" s="222">
        <f t="shared" si="2"/>
        <v>0</v>
      </c>
      <c r="K15" s="166" t="e">
        <f t="shared" si="4"/>
        <v>#DIV/0!</v>
      </c>
      <c r="L15" s="68" t="e">
        <f t="shared" si="3"/>
        <v>#DIV/0!</v>
      </c>
      <c r="M15" s="68"/>
      <c r="N15" s="68">
        <f t="shared" si="6"/>
        <v>19103616.719999999</v>
      </c>
      <c r="O15" s="235">
        <f t="shared" si="1"/>
        <v>19103616.719999999</v>
      </c>
      <c r="P15" s="568"/>
      <c r="Q15" s="583">
        <v>0.02</v>
      </c>
      <c r="AB15" s="569"/>
      <c r="AC15" s="569"/>
      <c r="AD15" s="570"/>
    </row>
    <row r="16" spans="1:30" ht="30" customHeight="1">
      <c r="A16" s="685"/>
      <c r="B16" s="848">
        <v>10</v>
      </c>
      <c r="C16" s="158">
        <f t="shared" si="5"/>
        <v>2028</v>
      </c>
      <c r="D16" s="238" t="e">
        <f t="shared" si="0"/>
        <v>#DIV/0!</v>
      </c>
      <c r="E16" s="166"/>
      <c r="F16" s="166"/>
      <c r="G16" s="166"/>
      <c r="H16" s="166"/>
      <c r="I16" s="166"/>
      <c r="J16" s="222">
        <f t="shared" si="2"/>
        <v>0</v>
      </c>
      <c r="K16" s="166" t="e">
        <f t="shared" si="4"/>
        <v>#DIV/0!</v>
      </c>
      <c r="L16" s="68" t="e">
        <f t="shared" si="3"/>
        <v>#DIV/0!</v>
      </c>
      <c r="M16" s="68"/>
      <c r="N16" s="68">
        <f t="shared" si="6"/>
        <v>19103616.719999999</v>
      </c>
      <c r="O16" s="235">
        <f t="shared" si="1"/>
        <v>19103616.719999999</v>
      </c>
      <c r="P16" s="568"/>
      <c r="Q16" s="583">
        <v>0</v>
      </c>
      <c r="AB16" s="569"/>
      <c r="AC16" s="569"/>
      <c r="AD16" s="570"/>
    </row>
    <row r="17" spans="1:30" ht="30" customHeight="1">
      <c r="A17" s="685"/>
      <c r="B17" s="848">
        <v>11</v>
      </c>
      <c r="C17" s="158">
        <f t="shared" si="5"/>
        <v>2029</v>
      </c>
      <c r="D17" s="238" t="e">
        <f t="shared" si="0"/>
        <v>#DIV/0!</v>
      </c>
      <c r="E17" s="166"/>
      <c r="F17" s="166"/>
      <c r="G17" s="166"/>
      <c r="H17" s="166"/>
      <c r="I17" s="166"/>
      <c r="J17" s="222">
        <f t="shared" si="2"/>
        <v>0</v>
      </c>
      <c r="K17" s="166" t="e">
        <f t="shared" si="4"/>
        <v>#DIV/0!</v>
      </c>
      <c r="L17" s="68" t="e">
        <f t="shared" si="3"/>
        <v>#DIV/0!</v>
      </c>
      <c r="M17" s="68"/>
      <c r="N17" s="68">
        <f t="shared" si="6"/>
        <v>19676725.2216</v>
      </c>
      <c r="O17" s="235">
        <f t="shared" si="1"/>
        <v>19676725.2216</v>
      </c>
      <c r="P17" s="568"/>
      <c r="Q17" s="583">
        <v>0.03</v>
      </c>
      <c r="AB17" s="569"/>
      <c r="AC17" s="569"/>
      <c r="AD17" s="570"/>
    </row>
    <row r="18" spans="1:30" ht="30" customHeight="1">
      <c r="A18" s="685"/>
      <c r="B18" s="848">
        <v>12</v>
      </c>
      <c r="C18" s="158">
        <f t="shared" si="5"/>
        <v>2030</v>
      </c>
      <c r="D18" s="238" t="e">
        <f t="shared" si="0"/>
        <v>#DIV/0!</v>
      </c>
      <c r="E18" s="166"/>
      <c r="F18" s="166"/>
      <c r="G18" s="166"/>
      <c r="H18" s="166"/>
      <c r="I18" s="166"/>
      <c r="J18" s="222">
        <f t="shared" si="2"/>
        <v>0</v>
      </c>
      <c r="K18" s="166" t="e">
        <f t="shared" si="4"/>
        <v>#DIV/0!</v>
      </c>
      <c r="L18" s="68" t="e">
        <f t="shared" si="3"/>
        <v>#DIV/0!</v>
      </c>
      <c r="M18" s="68"/>
      <c r="N18" s="68">
        <f t="shared" si="6"/>
        <v>19676725.2216</v>
      </c>
      <c r="O18" s="235">
        <f t="shared" si="1"/>
        <v>19676725.2216</v>
      </c>
      <c r="P18" s="568"/>
      <c r="Q18" s="583">
        <v>0</v>
      </c>
      <c r="AB18" s="569"/>
      <c r="AC18" s="569"/>
      <c r="AD18" s="570"/>
    </row>
    <row r="19" spans="1:30" ht="30" customHeight="1">
      <c r="A19" s="685"/>
      <c r="B19" s="848">
        <v>13</v>
      </c>
      <c r="C19" s="158">
        <f t="shared" si="5"/>
        <v>2031</v>
      </c>
      <c r="D19" s="238" t="e">
        <f t="shared" si="0"/>
        <v>#DIV/0!</v>
      </c>
      <c r="E19" s="166"/>
      <c r="F19" s="166"/>
      <c r="G19" s="166"/>
      <c r="H19" s="166"/>
      <c r="I19" s="166"/>
      <c r="J19" s="222">
        <f t="shared" si="2"/>
        <v>0</v>
      </c>
      <c r="K19" s="166" t="e">
        <f t="shared" si="4"/>
        <v>#DIV/0!</v>
      </c>
      <c r="L19" s="68" t="e">
        <f t="shared" si="3"/>
        <v>#DIV/0!</v>
      </c>
      <c r="M19" s="68"/>
      <c r="N19" s="68">
        <f t="shared" si="6"/>
        <v>20463794.230464</v>
      </c>
      <c r="O19" s="235">
        <f t="shared" si="1"/>
        <v>20463794.230464</v>
      </c>
      <c r="P19" s="568"/>
      <c r="Q19" s="583">
        <v>0.04</v>
      </c>
      <c r="AB19" s="569"/>
      <c r="AC19" s="569"/>
      <c r="AD19" s="570"/>
    </row>
    <row r="20" spans="1:30" ht="30" customHeight="1">
      <c r="A20" s="685"/>
      <c r="B20" s="848">
        <v>14</v>
      </c>
      <c r="C20" s="158">
        <f t="shared" si="5"/>
        <v>2032</v>
      </c>
      <c r="D20" s="238" t="e">
        <f t="shared" si="0"/>
        <v>#DIV/0!</v>
      </c>
      <c r="E20" s="166"/>
      <c r="F20" s="166"/>
      <c r="G20" s="166"/>
      <c r="H20" s="166"/>
      <c r="I20" s="166"/>
      <c r="J20" s="222">
        <f t="shared" si="2"/>
        <v>0</v>
      </c>
      <c r="K20" s="166" t="e">
        <f t="shared" si="4"/>
        <v>#DIV/0!</v>
      </c>
      <c r="L20" s="68" t="e">
        <f t="shared" si="3"/>
        <v>#DIV/0!</v>
      </c>
      <c r="M20" s="68"/>
      <c r="N20" s="68">
        <f t="shared" si="6"/>
        <v>20463794.230464</v>
      </c>
      <c r="O20" s="235">
        <f t="shared" si="1"/>
        <v>20463794.230464</v>
      </c>
      <c r="P20" s="568"/>
      <c r="Q20" s="583">
        <v>0</v>
      </c>
      <c r="AB20" s="569"/>
      <c r="AC20" s="569"/>
      <c r="AD20" s="570"/>
    </row>
    <row r="21" spans="1:30" ht="30" customHeight="1">
      <c r="A21" s="685"/>
      <c r="B21" s="848">
        <v>15</v>
      </c>
      <c r="C21" s="158">
        <f t="shared" si="5"/>
        <v>2033</v>
      </c>
      <c r="D21" s="238" t="e">
        <f t="shared" si="0"/>
        <v>#DIV/0!</v>
      </c>
      <c r="E21" s="166"/>
      <c r="F21" s="166"/>
      <c r="G21" s="166"/>
      <c r="H21" s="166"/>
      <c r="I21" s="166"/>
      <c r="J21" s="222">
        <f t="shared" si="2"/>
        <v>0</v>
      </c>
      <c r="K21" s="166" t="e">
        <f t="shared" si="4"/>
        <v>#DIV/0!</v>
      </c>
      <c r="L21" s="68" t="e">
        <f t="shared" si="3"/>
        <v>#DIV/0!</v>
      </c>
      <c r="M21" s="68"/>
      <c r="N21" s="68">
        <f t="shared" si="6"/>
        <v>21282345.999682561</v>
      </c>
      <c r="O21" s="235">
        <f t="shared" si="1"/>
        <v>21282345.999682561</v>
      </c>
      <c r="P21" s="568"/>
      <c r="Q21" s="583">
        <v>0.04</v>
      </c>
      <c r="AB21" s="569"/>
      <c r="AC21" s="569"/>
      <c r="AD21" s="570"/>
    </row>
    <row r="22" spans="1:30" ht="30" customHeight="1">
      <c r="A22" s="685"/>
      <c r="B22" s="848">
        <v>16</v>
      </c>
      <c r="C22" s="158">
        <f t="shared" si="5"/>
        <v>2034</v>
      </c>
      <c r="D22" s="238" t="e">
        <f t="shared" si="0"/>
        <v>#DIV/0!</v>
      </c>
      <c r="E22" s="166"/>
      <c r="F22" s="166"/>
      <c r="G22" s="166"/>
      <c r="H22" s="166"/>
      <c r="I22" s="166"/>
      <c r="J22" s="222">
        <f t="shared" si="2"/>
        <v>0</v>
      </c>
      <c r="K22" s="166" t="e">
        <f t="shared" si="4"/>
        <v>#DIV/0!</v>
      </c>
      <c r="L22" s="68" t="e">
        <f t="shared" si="3"/>
        <v>#DIV/0!</v>
      </c>
      <c r="M22" s="68"/>
      <c r="N22" s="68">
        <f t="shared" si="6"/>
        <v>21282345.999682561</v>
      </c>
      <c r="O22" s="235">
        <f t="shared" si="1"/>
        <v>21282345.999682561</v>
      </c>
      <c r="P22" s="568"/>
      <c r="Q22" s="583">
        <v>0</v>
      </c>
      <c r="AB22" s="569"/>
      <c r="AC22" s="569"/>
      <c r="AD22" s="570"/>
    </row>
    <row r="23" spans="1:30" ht="30" customHeight="1">
      <c r="A23" s="685"/>
      <c r="B23" s="848">
        <v>17</v>
      </c>
      <c r="C23" s="158">
        <f t="shared" si="5"/>
        <v>2035</v>
      </c>
      <c r="D23" s="238" t="e">
        <f t="shared" si="0"/>
        <v>#DIV/0!</v>
      </c>
      <c r="E23" s="166"/>
      <c r="F23" s="166"/>
      <c r="G23" s="166"/>
      <c r="H23" s="166"/>
      <c r="I23" s="166"/>
      <c r="J23" s="222">
        <f t="shared" si="2"/>
        <v>0</v>
      </c>
      <c r="K23" s="166" t="e">
        <f t="shared" si="4"/>
        <v>#DIV/0!</v>
      </c>
      <c r="L23" s="68" t="e">
        <f t="shared" si="3"/>
        <v>#DIV/0!</v>
      </c>
      <c r="M23" s="68"/>
      <c r="N23" s="68">
        <f t="shared" si="6"/>
        <v>22346463.299666688</v>
      </c>
      <c r="O23" s="235">
        <f t="shared" si="1"/>
        <v>22346463.299666688</v>
      </c>
      <c r="P23" s="568"/>
      <c r="Q23" s="583">
        <v>0.05</v>
      </c>
      <c r="AB23" s="569"/>
      <c r="AC23" s="569"/>
      <c r="AD23" s="570"/>
    </row>
    <row r="24" spans="1:30" ht="30" customHeight="1">
      <c r="A24" s="685"/>
      <c r="B24" s="848">
        <v>18</v>
      </c>
      <c r="C24" s="158">
        <f t="shared" si="5"/>
        <v>2036</v>
      </c>
      <c r="D24" s="238" t="e">
        <f t="shared" si="0"/>
        <v>#DIV/0!</v>
      </c>
      <c r="E24" s="166"/>
      <c r="F24" s="166"/>
      <c r="G24" s="166"/>
      <c r="H24" s="166"/>
      <c r="I24" s="166"/>
      <c r="J24" s="222">
        <f t="shared" si="2"/>
        <v>0</v>
      </c>
      <c r="K24" s="166" t="e">
        <f t="shared" si="4"/>
        <v>#DIV/0!</v>
      </c>
      <c r="L24" s="68" t="e">
        <f t="shared" si="3"/>
        <v>#DIV/0!</v>
      </c>
      <c r="M24" s="68"/>
      <c r="N24" s="68">
        <f t="shared" si="6"/>
        <v>22346463.299666688</v>
      </c>
      <c r="O24" s="235">
        <f t="shared" si="1"/>
        <v>22346463.299666688</v>
      </c>
      <c r="P24" s="568"/>
      <c r="Q24" s="583">
        <v>0</v>
      </c>
      <c r="AB24" s="569"/>
      <c r="AC24" s="569"/>
      <c r="AD24" s="570"/>
    </row>
    <row r="25" spans="1:30" ht="30" customHeight="1">
      <c r="A25" s="685"/>
      <c r="B25" s="848">
        <v>19</v>
      </c>
      <c r="C25" s="158">
        <f t="shared" si="5"/>
        <v>2037</v>
      </c>
      <c r="D25" s="238" t="e">
        <f t="shared" si="0"/>
        <v>#DIV/0!</v>
      </c>
      <c r="E25" s="166"/>
      <c r="F25" s="166"/>
      <c r="G25" s="166"/>
      <c r="H25" s="166"/>
      <c r="I25" s="166"/>
      <c r="J25" s="222">
        <f t="shared" si="2"/>
        <v>0</v>
      </c>
      <c r="K25" s="166" t="e">
        <f t="shared" si="4"/>
        <v>#DIV/0!</v>
      </c>
      <c r="L25" s="68" t="e">
        <f t="shared" si="3"/>
        <v>#DIV/0!</v>
      </c>
      <c r="M25" s="68"/>
      <c r="N25" s="68">
        <f t="shared" si="6"/>
        <v>23463786.464650024</v>
      </c>
      <c r="O25" s="235">
        <f t="shared" si="1"/>
        <v>23463786.464650024</v>
      </c>
      <c r="P25" s="568"/>
      <c r="Q25" s="583">
        <v>0.05</v>
      </c>
      <c r="AB25" s="569"/>
      <c r="AC25" s="569"/>
      <c r="AD25" s="570"/>
    </row>
    <row r="26" spans="1:30" ht="30" customHeight="1">
      <c r="A26" s="685"/>
      <c r="B26" s="848">
        <v>20</v>
      </c>
      <c r="C26" s="158">
        <f t="shared" si="5"/>
        <v>2038</v>
      </c>
      <c r="D26" s="238" t="e">
        <f t="shared" si="0"/>
        <v>#DIV/0!</v>
      </c>
      <c r="E26" s="166"/>
      <c r="F26" s="166"/>
      <c r="G26" s="166"/>
      <c r="H26" s="166"/>
      <c r="I26" s="166"/>
      <c r="J26" s="222">
        <f t="shared" si="2"/>
        <v>0</v>
      </c>
      <c r="K26" s="166" t="e">
        <f t="shared" si="4"/>
        <v>#DIV/0!</v>
      </c>
      <c r="L26" s="68" t="e">
        <f t="shared" si="3"/>
        <v>#DIV/0!</v>
      </c>
      <c r="M26" s="68"/>
      <c r="N26" s="68">
        <f t="shared" si="6"/>
        <v>23463786.464650024</v>
      </c>
      <c r="O26" s="235">
        <f t="shared" si="1"/>
        <v>23463786.464650024</v>
      </c>
      <c r="P26" s="568"/>
      <c r="Q26" s="583">
        <v>0</v>
      </c>
      <c r="AB26" s="569"/>
      <c r="AC26" s="569"/>
      <c r="AD26" s="570"/>
    </row>
    <row r="27" spans="1:30" ht="30" customHeight="1">
      <c r="A27" s="685"/>
      <c r="B27" s="848">
        <v>21</v>
      </c>
      <c r="C27" s="158">
        <f t="shared" si="5"/>
        <v>2039</v>
      </c>
      <c r="D27" s="238" t="e">
        <f t="shared" si="0"/>
        <v>#DIV/0!</v>
      </c>
      <c r="E27" s="166"/>
      <c r="F27" s="166"/>
      <c r="G27" s="166"/>
      <c r="H27" s="166"/>
      <c r="I27" s="166"/>
      <c r="J27" s="222">
        <f t="shared" si="2"/>
        <v>0</v>
      </c>
      <c r="K27" s="166" t="e">
        <f t="shared" si="4"/>
        <v>#DIV/0!</v>
      </c>
      <c r="L27" s="68" t="e">
        <f t="shared" si="3"/>
        <v>#DIV/0!</v>
      </c>
      <c r="M27" s="68"/>
      <c r="N27" s="68">
        <f t="shared" si="6"/>
        <v>24636975.787882525</v>
      </c>
      <c r="O27" s="235">
        <f t="shared" si="1"/>
        <v>24636975.787882525</v>
      </c>
      <c r="P27" s="568"/>
      <c r="Q27" s="583">
        <v>0.05</v>
      </c>
      <c r="AB27" s="569"/>
      <c r="AC27" s="569"/>
      <c r="AD27" s="570"/>
    </row>
    <row r="28" spans="1:30" ht="30" customHeight="1">
      <c r="A28" s="685"/>
      <c r="B28" s="848">
        <v>22</v>
      </c>
      <c r="C28" s="158">
        <f t="shared" si="5"/>
        <v>2040</v>
      </c>
      <c r="D28" s="238" t="e">
        <f t="shared" si="0"/>
        <v>#DIV/0!</v>
      </c>
      <c r="E28" s="166"/>
      <c r="F28" s="166"/>
      <c r="G28" s="166"/>
      <c r="H28" s="166"/>
      <c r="I28" s="166"/>
      <c r="J28" s="222">
        <f t="shared" si="2"/>
        <v>0</v>
      </c>
      <c r="K28" s="166" t="e">
        <f t="shared" si="4"/>
        <v>#DIV/0!</v>
      </c>
      <c r="L28" s="68" t="e">
        <f t="shared" si="3"/>
        <v>#DIV/0!</v>
      </c>
      <c r="M28" s="68"/>
      <c r="N28" s="68">
        <f t="shared" si="6"/>
        <v>24636975.787882525</v>
      </c>
      <c r="O28" s="235">
        <f t="shared" si="1"/>
        <v>24636975.787882525</v>
      </c>
      <c r="P28" s="568"/>
      <c r="Q28" s="583">
        <v>0</v>
      </c>
      <c r="AB28" s="569"/>
      <c r="AC28" s="569"/>
      <c r="AD28" s="570"/>
    </row>
    <row r="29" spans="1:30" ht="30" customHeight="1">
      <c r="A29" s="685"/>
      <c r="B29" s="848">
        <v>23</v>
      </c>
      <c r="C29" s="158">
        <f t="shared" si="5"/>
        <v>2041</v>
      </c>
      <c r="D29" s="238" t="e">
        <f t="shared" si="0"/>
        <v>#DIV/0!</v>
      </c>
      <c r="E29" s="166"/>
      <c r="F29" s="166"/>
      <c r="G29" s="166"/>
      <c r="H29" s="166"/>
      <c r="I29" s="166"/>
      <c r="J29" s="222">
        <f t="shared" si="2"/>
        <v>0</v>
      </c>
      <c r="K29" s="166" t="e">
        <f t="shared" si="4"/>
        <v>#DIV/0!</v>
      </c>
      <c r="L29" s="68" t="e">
        <f t="shared" si="3"/>
        <v>#DIV/0!</v>
      </c>
      <c r="M29" s="68"/>
      <c r="N29" s="68">
        <f t="shared" si="6"/>
        <v>25868824.577276655</v>
      </c>
      <c r="O29" s="235">
        <f t="shared" si="1"/>
        <v>25868824.577276655</v>
      </c>
      <c r="P29" s="568"/>
      <c r="Q29" s="583">
        <v>0.05</v>
      </c>
      <c r="AB29" s="569"/>
      <c r="AC29" s="569"/>
      <c r="AD29" s="570"/>
    </row>
    <row r="30" spans="1:30" ht="30" customHeight="1">
      <c r="A30" s="685"/>
      <c r="B30" s="848">
        <v>24</v>
      </c>
      <c r="C30" s="158">
        <f t="shared" si="5"/>
        <v>2042</v>
      </c>
      <c r="D30" s="238" t="e">
        <f t="shared" si="0"/>
        <v>#DIV/0!</v>
      </c>
      <c r="E30" s="166"/>
      <c r="F30" s="166"/>
      <c r="G30" s="166"/>
      <c r="H30" s="166"/>
      <c r="I30" s="166"/>
      <c r="J30" s="222">
        <f t="shared" si="2"/>
        <v>0</v>
      </c>
      <c r="K30" s="166" t="e">
        <f t="shared" si="4"/>
        <v>#DIV/0!</v>
      </c>
      <c r="L30" s="68" t="e">
        <f t="shared" si="3"/>
        <v>#DIV/0!</v>
      </c>
      <c r="M30" s="68"/>
      <c r="N30" s="68">
        <f t="shared" si="6"/>
        <v>25868824.577276655</v>
      </c>
      <c r="O30" s="235">
        <f t="shared" si="1"/>
        <v>25868824.577276655</v>
      </c>
      <c r="P30" s="568"/>
      <c r="Q30" s="583">
        <v>0</v>
      </c>
      <c r="AB30" s="569"/>
      <c r="AC30" s="569"/>
      <c r="AD30" s="570"/>
    </row>
    <row r="31" spans="1:30" ht="30" customHeight="1">
      <c r="A31" s="685"/>
      <c r="B31" s="848">
        <v>25</v>
      </c>
      <c r="C31" s="158">
        <f>C30+1</f>
        <v>2043</v>
      </c>
      <c r="D31" s="238" t="e">
        <f t="shared" si="0"/>
        <v>#DIV/0!</v>
      </c>
      <c r="E31" s="166"/>
      <c r="F31" s="166"/>
      <c r="G31" s="166"/>
      <c r="H31" s="166"/>
      <c r="I31" s="166"/>
      <c r="J31" s="222">
        <f t="shared" si="2"/>
        <v>0</v>
      </c>
      <c r="K31" s="166" t="e">
        <f t="shared" si="4"/>
        <v>#DIV/0!</v>
      </c>
      <c r="L31" s="68" t="e">
        <f t="shared" si="3"/>
        <v>#DIV/0!</v>
      </c>
      <c r="M31" s="68"/>
      <c r="N31" s="68">
        <f t="shared" si="6"/>
        <v>27162265.80614049</v>
      </c>
      <c r="O31" s="235">
        <f t="shared" si="1"/>
        <v>27162265.80614049</v>
      </c>
      <c r="P31" s="568"/>
      <c r="Q31" s="583">
        <v>0.05</v>
      </c>
      <c r="AB31" s="569"/>
      <c r="AC31" s="569"/>
      <c r="AD31" s="570"/>
    </row>
    <row r="32" spans="1:30" ht="30" customHeight="1">
      <c r="A32" s="685"/>
      <c r="B32" s="848">
        <v>26</v>
      </c>
      <c r="C32" s="158">
        <f t="shared" si="5"/>
        <v>2044</v>
      </c>
      <c r="D32" s="238" t="e">
        <f t="shared" si="0"/>
        <v>#DIV/0!</v>
      </c>
      <c r="E32" s="166"/>
      <c r="F32" s="166"/>
      <c r="G32" s="166"/>
      <c r="H32" s="166"/>
      <c r="I32" s="166"/>
      <c r="J32" s="222">
        <f t="shared" si="2"/>
        <v>0</v>
      </c>
      <c r="K32" s="166" t="e">
        <f t="shared" si="4"/>
        <v>#DIV/0!</v>
      </c>
      <c r="L32" s="68" t="e">
        <f t="shared" si="3"/>
        <v>#DIV/0!</v>
      </c>
      <c r="M32" s="68"/>
      <c r="N32" s="68">
        <f t="shared" si="6"/>
        <v>27162265.80614049</v>
      </c>
      <c r="O32" s="235">
        <f t="shared" si="1"/>
        <v>27162265.80614049</v>
      </c>
      <c r="P32" s="568"/>
      <c r="Q32" s="583">
        <v>0</v>
      </c>
      <c r="AB32" s="569"/>
      <c r="AC32" s="569"/>
      <c r="AD32" s="570"/>
    </row>
    <row r="33" spans="1:30" ht="30" customHeight="1">
      <c r="A33" s="685"/>
      <c r="B33" s="848">
        <v>27</v>
      </c>
      <c r="C33" s="158">
        <f t="shared" si="5"/>
        <v>2045</v>
      </c>
      <c r="D33" s="238" t="e">
        <f t="shared" si="0"/>
        <v>#DIV/0!</v>
      </c>
      <c r="E33" s="166"/>
      <c r="F33" s="166"/>
      <c r="G33" s="166"/>
      <c r="H33" s="166"/>
      <c r="I33" s="166"/>
      <c r="J33" s="222">
        <f t="shared" si="2"/>
        <v>0</v>
      </c>
      <c r="K33" s="166" t="e">
        <f t="shared" si="4"/>
        <v>#DIV/0!</v>
      </c>
      <c r="L33" s="68" t="e">
        <f t="shared" si="3"/>
        <v>#DIV/0!</v>
      </c>
      <c r="M33" s="68"/>
      <c r="N33" s="68">
        <f t="shared" si="6"/>
        <v>28520379.096447516</v>
      </c>
      <c r="O33" s="235">
        <f t="shared" si="1"/>
        <v>28520379.096447516</v>
      </c>
      <c r="P33" s="568"/>
      <c r="Q33" s="583">
        <v>0.05</v>
      </c>
      <c r="AB33" s="569"/>
      <c r="AC33" s="569"/>
      <c r="AD33" s="570"/>
    </row>
    <row r="34" spans="1:30" ht="30" customHeight="1">
      <c r="A34" s="685"/>
      <c r="B34" s="848">
        <v>28</v>
      </c>
      <c r="C34" s="158">
        <f t="shared" si="5"/>
        <v>2046</v>
      </c>
      <c r="D34" s="238" t="e">
        <f t="shared" si="0"/>
        <v>#DIV/0!</v>
      </c>
      <c r="E34" s="166"/>
      <c r="F34" s="166"/>
      <c r="G34" s="166"/>
      <c r="H34" s="166"/>
      <c r="I34" s="166"/>
      <c r="J34" s="222">
        <f t="shared" si="2"/>
        <v>0</v>
      </c>
      <c r="K34" s="166" t="e">
        <f t="shared" si="4"/>
        <v>#DIV/0!</v>
      </c>
      <c r="L34" s="68" t="e">
        <f t="shared" si="3"/>
        <v>#DIV/0!</v>
      </c>
      <c r="M34" s="68"/>
      <c r="N34" s="68">
        <f t="shared" si="6"/>
        <v>28520379.096447516</v>
      </c>
      <c r="O34" s="235">
        <f t="shared" si="1"/>
        <v>28520379.096447516</v>
      </c>
      <c r="P34" s="568"/>
      <c r="Q34" s="583">
        <v>0</v>
      </c>
      <c r="AB34" s="569"/>
      <c r="AC34" s="569"/>
      <c r="AD34" s="570"/>
    </row>
    <row r="35" spans="1:30" ht="30" customHeight="1">
      <c r="A35" s="685"/>
      <c r="B35" s="848">
        <v>29</v>
      </c>
      <c r="C35" s="158">
        <f t="shared" si="5"/>
        <v>2047</v>
      </c>
      <c r="D35" s="238" t="e">
        <f t="shared" si="0"/>
        <v>#DIV/0!</v>
      </c>
      <c r="E35" s="166"/>
      <c r="F35" s="166"/>
      <c r="G35" s="166"/>
      <c r="H35" s="166"/>
      <c r="I35" s="166"/>
      <c r="J35" s="222">
        <f t="shared" si="2"/>
        <v>0</v>
      </c>
      <c r="K35" s="166" t="e">
        <f t="shared" si="4"/>
        <v>#DIV/0!</v>
      </c>
      <c r="L35" s="68" t="e">
        <f t="shared" si="3"/>
        <v>#DIV/0!</v>
      </c>
      <c r="M35" s="68"/>
      <c r="N35" s="68">
        <f t="shared" si="6"/>
        <v>29946398.051269893</v>
      </c>
      <c r="O35" s="235">
        <f t="shared" si="1"/>
        <v>29946398.051269893</v>
      </c>
      <c r="P35" s="568"/>
      <c r="Q35" s="583">
        <v>0.05</v>
      </c>
      <c r="AB35" s="569"/>
      <c r="AC35" s="569"/>
      <c r="AD35" s="570"/>
    </row>
    <row r="36" spans="1:30" ht="30" customHeight="1">
      <c r="A36" s="685"/>
      <c r="B36" s="848">
        <v>30</v>
      </c>
      <c r="C36" s="158">
        <f t="shared" si="5"/>
        <v>2048</v>
      </c>
      <c r="D36" s="238" t="e">
        <f t="shared" si="0"/>
        <v>#DIV/0!</v>
      </c>
      <c r="E36" s="166"/>
      <c r="F36" s="166"/>
      <c r="G36" s="166"/>
      <c r="H36" s="166"/>
      <c r="I36" s="166"/>
      <c r="J36" s="222">
        <f t="shared" si="2"/>
        <v>0</v>
      </c>
      <c r="K36" s="166" t="e">
        <f t="shared" si="4"/>
        <v>#DIV/0!</v>
      </c>
      <c r="L36" s="68" t="e">
        <f t="shared" si="3"/>
        <v>#DIV/0!</v>
      </c>
      <c r="M36" s="68"/>
      <c r="N36" s="68">
        <f t="shared" si="6"/>
        <v>29946398.051269893</v>
      </c>
      <c r="O36" s="235">
        <f t="shared" si="1"/>
        <v>29946398.051269893</v>
      </c>
      <c r="P36" s="568"/>
      <c r="Q36" s="583">
        <v>0</v>
      </c>
      <c r="AB36" s="569"/>
      <c r="AC36" s="569"/>
      <c r="AD36" s="570"/>
    </row>
    <row r="37" spans="1:30" ht="30" customHeight="1">
      <c r="A37" s="685"/>
      <c r="B37" s="848">
        <v>31</v>
      </c>
      <c r="C37" s="158">
        <f t="shared" si="5"/>
        <v>2049</v>
      </c>
      <c r="D37" s="238" t="e">
        <f t="shared" si="0"/>
        <v>#DIV/0!</v>
      </c>
      <c r="E37" s="166"/>
      <c r="F37" s="166"/>
      <c r="G37" s="166"/>
      <c r="H37" s="166"/>
      <c r="I37" s="166"/>
      <c r="J37" s="222">
        <f t="shared" si="2"/>
        <v>0</v>
      </c>
      <c r="K37" s="166" t="e">
        <f t="shared" si="4"/>
        <v>#DIV/0!</v>
      </c>
      <c r="L37" s="68" t="e">
        <f t="shared" si="3"/>
        <v>#DIV/0!</v>
      </c>
      <c r="M37" s="68"/>
      <c r="N37" s="68">
        <f t="shared" si="6"/>
        <v>31443717.95383339</v>
      </c>
      <c r="O37" s="235">
        <f t="shared" si="1"/>
        <v>31443717.95383339</v>
      </c>
      <c r="P37" s="568"/>
      <c r="Q37" s="583">
        <v>0.05</v>
      </c>
      <c r="AB37" s="569"/>
      <c r="AC37" s="569"/>
      <c r="AD37" s="570"/>
    </row>
    <row r="38" spans="1:30" ht="30" customHeight="1">
      <c r="A38" s="685"/>
      <c r="B38" s="848">
        <v>32</v>
      </c>
      <c r="C38" s="158">
        <f t="shared" si="5"/>
        <v>2050</v>
      </c>
      <c r="D38" s="238" t="e">
        <f t="shared" si="0"/>
        <v>#DIV/0!</v>
      </c>
      <c r="E38" s="166"/>
      <c r="F38" s="166"/>
      <c r="G38" s="166"/>
      <c r="H38" s="166"/>
      <c r="I38" s="166"/>
      <c r="J38" s="222">
        <f t="shared" si="2"/>
        <v>0</v>
      </c>
      <c r="K38" s="166" t="e">
        <f t="shared" si="4"/>
        <v>#DIV/0!</v>
      </c>
      <c r="L38" s="68" t="e">
        <f t="shared" si="3"/>
        <v>#DIV/0!</v>
      </c>
      <c r="M38" s="68"/>
      <c r="N38" s="68">
        <f t="shared" si="6"/>
        <v>31443717.95383339</v>
      </c>
      <c r="O38" s="235">
        <f t="shared" si="1"/>
        <v>31443717.95383339</v>
      </c>
      <c r="P38" s="568"/>
      <c r="Q38" s="583">
        <v>0</v>
      </c>
      <c r="AB38" s="569"/>
      <c r="AC38" s="569"/>
      <c r="AD38" s="570"/>
    </row>
    <row r="39" spans="1:30" ht="30" customHeight="1">
      <c r="A39" s="685"/>
      <c r="B39" s="848">
        <v>33</v>
      </c>
      <c r="C39" s="158">
        <f t="shared" si="5"/>
        <v>2051</v>
      </c>
      <c r="D39" s="238" t="e">
        <f t="shared" si="0"/>
        <v>#DIV/0!</v>
      </c>
      <c r="E39" s="166"/>
      <c r="F39" s="166"/>
      <c r="G39" s="166"/>
      <c r="H39" s="166"/>
      <c r="I39" s="166"/>
      <c r="J39" s="222">
        <f t="shared" si="2"/>
        <v>0</v>
      </c>
      <c r="K39" s="166" t="e">
        <f t="shared" si="4"/>
        <v>#DIV/0!</v>
      </c>
      <c r="L39" s="68" t="e">
        <f t="shared" si="3"/>
        <v>#DIV/0!</v>
      </c>
      <c r="M39" s="68"/>
      <c r="N39" s="68">
        <f t="shared" si="6"/>
        <v>33015903.851525061</v>
      </c>
      <c r="O39" s="235">
        <f t="shared" si="1"/>
        <v>33015903.851525061</v>
      </c>
      <c r="P39" s="568"/>
      <c r="Q39" s="583">
        <v>0.05</v>
      </c>
      <c r="AB39" s="569"/>
      <c r="AC39" s="569"/>
      <c r="AD39" s="570"/>
    </row>
    <row r="40" spans="1:30" ht="30" customHeight="1">
      <c r="A40" s="685"/>
      <c r="B40" s="848">
        <v>34</v>
      </c>
      <c r="C40" s="158">
        <f t="shared" si="5"/>
        <v>2052</v>
      </c>
      <c r="D40" s="238" t="e">
        <f t="shared" si="0"/>
        <v>#DIV/0!</v>
      </c>
      <c r="E40" s="166"/>
      <c r="F40" s="166"/>
      <c r="G40" s="166"/>
      <c r="H40" s="166"/>
      <c r="I40" s="166"/>
      <c r="J40" s="222">
        <f t="shared" si="2"/>
        <v>0</v>
      </c>
      <c r="K40" s="166" t="e">
        <f t="shared" si="4"/>
        <v>#DIV/0!</v>
      </c>
      <c r="L40" s="68" t="e">
        <f t="shared" si="3"/>
        <v>#DIV/0!</v>
      </c>
      <c r="M40" s="68"/>
      <c r="N40" s="68">
        <f t="shared" si="6"/>
        <v>33015903.851525061</v>
      </c>
      <c r="O40" s="235">
        <f t="shared" si="1"/>
        <v>33015903.851525061</v>
      </c>
      <c r="P40" s="568"/>
      <c r="Q40" s="583">
        <v>0</v>
      </c>
      <c r="AB40" s="569"/>
      <c r="AC40" s="569"/>
      <c r="AD40" s="570"/>
    </row>
    <row r="41" spans="1:30" ht="30" customHeight="1">
      <c r="A41" s="685"/>
      <c r="B41" s="848">
        <v>35</v>
      </c>
      <c r="C41" s="158">
        <f t="shared" si="5"/>
        <v>2053</v>
      </c>
      <c r="D41" s="238" t="e">
        <f t="shared" si="0"/>
        <v>#DIV/0!</v>
      </c>
      <c r="E41" s="166"/>
      <c r="F41" s="166"/>
      <c r="G41" s="166"/>
      <c r="H41" s="166"/>
      <c r="I41" s="166"/>
      <c r="J41" s="222">
        <f t="shared" si="2"/>
        <v>0</v>
      </c>
      <c r="K41" s="166" t="e">
        <f t="shared" si="4"/>
        <v>#DIV/0!</v>
      </c>
      <c r="L41" s="68" t="e">
        <f t="shared" si="3"/>
        <v>#DIV/0!</v>
      </c>
      <c r="M41" s="68"/>
      <c r="N41" s="68">
        <f t="shared" si="6"/>
        <v>34666699.044101313</v>
      </c>
      <c r="O41" s="235">
        <f t="shared" si="1"/>
        <v>34666699.044101313</v>
      </c>
      <c r="P41" s="568"/>
      <c r="Q41" s="583">
        <v>0.05</v>
      </c>
      <c r="AB41" s="569"/>
      <c r="AC41" s="569"/>
      <c r="AD41" s="570"/>
    </row>
    <row r="42" spans="1:30" ht="30" customHeight="1">
      <c r="A42" s="685"/>
      <c r="B42" s="848">
        <v>36</v>
      </c>
      <c r="C42" s="158">
        <f t="shared" si="5"/>
        <v>2054</v>
      </c>
      <c r="D42" s="238" t="e">
        <f t="shared" si="0"/>
        <v>#DIV/0!</v>
      </c>
      <c r="E42" s="166"/>
      <c r="F42" s="166"/>
      <c r="G42" s="166"/>
      <c r="H42" s="166"/>
      <c r="I42" s="166"/>
      <c r="J42" s="222">
        <f t="shared" si="2"/>
        <v>0</v>
      </c>
      <c r="K42" s="166" t="e">
        <f t="shared" si="4"/>
        <v>#DIV/0!</v>
      </c>
      <c r="L42" s="68" t="e">
        <f t="shared" si="3"/>
        <v>#DIV/0!</v>
      </c>
      <c r="M42" s="68"/>
      <c r="N42" s="68">
        <f t="shared" si="6"/>
        <v>34666699.044101313</v>
      </c>
      <c r="O42" s="235">
        <f t="shared" si="1"/>
        <v>34666699.044101313</v>
      </c>
      <c r="P42" s="568"/>
      <c r="Q42" s="583">
        <v>0</v>
      </c>
      <c r="AB42" s="569"/>
      <c r="AC42" s="569"/>
      <c r="AD42" s="570"/>
    </row>
    <row r="43" spans="1:30" ht="30" customHeight="1">
      <c r="A43" s="685"/>
      <c r="B43" s="848">
        <v>37</v>
      </c>
      <c r="C43" s="158">
        <f t="shared" si="5"/>
        <v>2055</v>
      </c>
      <c r="D43" s="238" t="e">
        <f t="shared" si="0"/>
        <v>#DIV/0!</v>
      </c>
      <c r="E43" s="166"/>
      <c r="F43" s="166"/>
      <c r="G43" s="166"/>
      <c r="H43" s="166"/>
      <c r="I43" s="166"/>
      <c r="J43" s="222">
        <f t="shared" si="2"/>
        <v>0</v>
      </c>
      <c r="K43" s="166" t="e">
        <f t="shared" si="4"/>
        <v>#DIV/0!</v>
      </c>
      <c r="L43" s="68" t="e">
        <f t="shared" si="3"/>
        <v>#DIV/0!</v>
      </c>
      <c r="M43" s="68"/>
      <c r="N43" s="68">
        <f t="shared" si="6"/>
        <v>36400033.996306382</v>
      </c>
      <c r="O43" s="235">
        <f t="shared" si="1"/>
        <v>36400033.996306382</v>
      </c>
      <c r="P43" s="568"/>
      <c r="Q43" s="583">
        <v>0.05</v>
      </c>
      <c r="AB43" s="569"/>
      <c r="AC43" s="569"/>
      <c r="AD43" s="570"/>
    </row>
    <row r="44" spans="1:30" ht="30" customHeight="1">
      <c r="A44" s="685"/>
      <c r="B44" s="848">
        <v>38</v>
      </c>
      <c r="C44" s="158">
        <f t="shared" si="5"/>
        <v>2056</v>
      </c>
      <c r="D44" s="238" t="e">
        <f t="shared" si="0"/>
        <v>#DIV/0!</v>
      </c>
      <c r="E44" s="166"/>
      <c r="F44" s="166"/>
      <c r="G44" s="166"/>
      <c r="H44" s="166"/>
      <c r="I44" s="166"/>
      <c r="J44" s="222">
        <f t="shared" si="2"/>
        <v>0</v>
      </c>
      <c r="K44" s="166" t="e">
        <f t="shared" si="4"/>
        <v>#DIV/0!</v>
      </c>
      <c r="L44" s="68" t="e">
        <f t="shared" si="3"/>
        <v>#DIV/0!</v>
      </c>
      <c r="M44" s="68"/>
      <c r="N44" s="68">
        <f t="shared" si="6"/>
        <v>36400033.996306382</v>
      </c>
      <c r="O44" s="235">
        <f t="shared" si="1"/>
        <v>36400033.996306382</v>
      </c>
      <c r="P44" s="568"/>
      <c r="Q44" s="583">
        <v>0</v>
      </c>
      <c r="AB44" s="569"/>
      <c r="AC44" s="569"/>
      <c r="AD44" s="570"/>
    </row>
    <row r="45" spans="1:30" ht="30" customHeight="1">
      <c r="A45" s="685"/>
      <c r="B45" s="848">
        <v>39</v>
      </c>
      <c r="C45" s="158">
        <f t="shared" si="5"/>
        <v>2057</v>
      </c>
      <c r="D45" s="238" t="e">
        <f t="shared" si="0"/>
        <v>#DIV/0!</v>
      </c>
      <c r="E45" s="166"/>
      <c r="F45" s="166"/>
      <c r="G45" s="166"/>
      <c r="H45" s="166"/>
      <c r="I45" s="166"/>
      <c r="J45" s="222">
        <f t="shared" si="2"/>
        <v>0</v>
      </c>
      <c r="K45" s="166" t="e">
        <f t="shared" si="4"/>
        <v>#DIV/0!</v>
      </c>
      <c r="L45" s="68" t="e">
        <f t="shared" si="3"/>
        <v>#DIV/0!</v>
      </c>
      <c r="M45" s="68"/>
      <c r="N45" s="68">
        <f t="shared" si="6"/>
        <v>38220035.6961217</v>
      </c>
      <c r="O45" s="235">
        <f t="shared" si="1"/>
        <v>38220035.6961217</v>
      </c>
      <c r="P45" s="568"/>
      <c r="Q45" s="583">
        <v>0.05</v>
      </c>
      <c r="AB45" s="569"/>
      <c r="AC45" s="569"/>
      <c r="AD45" s="570"/>
    </row>
    <row r="46" spans="1:30" ht="30" customHeight="1">
      <c r="A46" s="685"/>
      <c r="B46" s="849">
        <v>40</v>
      </c>
      <c r="C46" s="159">
        <f t="shared" si="5"/>
        <v>2058</v>
      </c>
      <c r="D46" s="238">
        <f t="shared" si="0"/>
        <v>38220035.6961217</v>
      </c>
      <c r="E46" s="225"/>
      <c r="F46" s="225"/>
      <c r="G46" s="225"/>
      <c r="H46" s="225"/>
      <c r="I46" s="225"/>
      <c r="J46" s="203">
        <f t="shared" si="2"/>
        <v>0</v>
      </c>
      <c r="K46" s="225" t="e">
        <f t="shared" si="4"/>
        <v>#DIV/0!</v>
      </c>
      <c r="L46" s="79"/>
      <c r="M46" s="79">
        <f>'&lt;서식7&gt;현금유출'!H47</f>
        <v>0</v>
      </c>
      <c r="N46" s="79">
        <f t="shared" si="6"/>
        <v>38220035.6961217</v>
      </c>
      <c r="O46" s="235">
        <f t="shared" si="1"/>
        <v>38220035.6961217</v>
      </c>
      <c r="P46" s="568"/>
      <c r="Q46" s="584">
        <v>0</v>
      </c>
      <c r="AB46" s="569"/>
      <c r="AC46" s="569"/>
      <c r="AD46" s="570"/>
    </row>
    <row r="47" spans="1:30" s="588" customFormat="1" ht="30" customHeight="1" thickBot="1">
      <c r="A47" s="852"/>
      <c r="B47" s="850"/>
      <c r="C47" s="171" t="s">
        <v>58</v>
      </c>
      <c r="D47" s="845" t="e">
        <f>SUM(D6:D46)</f>
        <v>#DIV/0!</v>
      </c>
      <c r="E47" s="845">
        <f>SUM(E6:E46)</f>
        <v>1197000000</v>
      </c>
      <c r="F47" s="216">
        <f t="shared" ref="F47:O47" si="7">SUM(F6:F46)</f>
        <v>0</v>
      </c>
      <c r="G47" s="216">
        <f t="shared" si="7"/>
        <v>0</v>
      </c>
      <c r="H47" s="216">
        <f t="shared" si="7"/>
        <v>0</v>
      </c>
      <c r="I47" s="845">
        <f t="shared" si="7"/>
        <v>133000000</v>
      </c>
      <c r="J47" s="216">
        <f t="shared" si="7"/>
        <v>1330000000</v>
      </c>
      <c r="K47" s="216"/>
      <c r="L47" s="216" t="e">
        <f>SUM(L6:L46)</f>
        <v>#DIV/0!</v>
      </c>
      <c r="M47" s="216">
        <f>SUM(M6:M46)</f>
        <v>0</v>
      </c>
      <c r="N47" s="165">
        <f t="shared" si="7"/>
        <v>1012977603.5939363</v>
      </c>
      <c r="O47" s="217">
        <f t="shared" si="7"/>
        <v>1012977603.5939363</v>
      </c>
      <c r="P47" s="585"/>
      <c r="Q47" s="586"/>
      <c r="R47" s="587" t="s">
        <v>283</v>
      </c>
    </row>
    <row r="48" spans="1:30" ht="11.25" customHeight="1" thickBot="1">
      <c r="A48" s="589"/>
      <c r="B48" s="590"/>
      <c r="C48" s="590"/>
      <c r="D48" s="590"/>
      <c r="E48" s="590"/>
      <c r="F48" s="590"/>
      <c r="G48" s="591"/>
      <c r="H48" s="592"/>
      <c r="I48" s="591"/>
      <c r="J48" s="593"/>
      <c r="K48" s="590"/>
      <c r="L48" s="593"/>
      <c r="M48" s="593"/>
      <c r="N48" s="594"/>
      <c r="O48" s="593"/>
      <c r="P48" s="595"/>
      <c r="AB48" s="569"/>
      <c r="AC48" s="569"/>
    </row>
    <row r="49" spans="2:29" ht="25.8">
      <c r="H49" s="598"/>
      <c r="I49" s="598"/>
      <c r="J49" s="860"/>
      <c r="AB49" s="569"/>
      <c r="AC49" s="569"/>
    </row>
    <row r="50" spans="2:29" ht="54.6" customHeight="1">
      <c r="B50" s="571"/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600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C50" s="569"/>
    </row>
    <row r="51" spans="2:29" ht="30" customHeight="1">
      <c r="AB51" s="569"/>
      <c r="AC51" s="569"/>
    </row>
    <row r="52" spans="2:29" ht="30" customHeight="1">
      <c r="AB52" s="569"/>
      <c r="AC52" s="569"/>
    </row>
    <row r="53" spans="2:29" ht="30" customHeight="1">
      <c r="AB53" s="569"/>
      <c r="AC53" s="569"/>
    </row>
    <row r="54" spans="2:29" ht="30" customHeight="1">
      <c r="AB54" s="569"/>
      <c r="AC54" s="569"/>
    </row>
    <row r="55" spans="2:29" ht="30" customHeight="1">
      <c r="AB55" s="569"/>
      <c r="AC55" s="569"/>
    </row>
    <row r="56" spans="2:29" ht="30" customHeight="1">
      <c r="AB56" s="569"/>
      <c r="AC56" s="569"/>
    </row>
    <row r="57" spans="2:29" ht="30" customHeight="1">
      <c r="AB57" s="569"/>
      <c r="AC57" s="569"/>
    </row>
    <row r="58" spans="2:29" ht="30" customHeight="1">
      <c r="AB58" s="569"/>
      <c r="AC58" s="569"/>
    </row>
    <row r="59" spans="2:29" ht="30" customHeight="1">
      <c r="AB59" s="569"/>
      <c r="AC59" s="569"/>
    </row>
    <row r="60" spans="2:29" ht="30" customHeight="1">
      <c r="AB60" s="569"/>
      <c r="AC60" s="569"/>
    </row>
    <row r="61" spans="2:29" ht="30" customHeight="1">
      <c r="AB61" s="569"/>
      <c r="AC61" s="569"/>
    </row>
    <row r="62" spans="2:29" ht="30" customHeight="1">
      <c r="AB62" s="569"/>
      <c r="AC62" s="569"/>
    </row>
    <row r="63" spans="2:29" ht="30" customHeight="1">
      <c r="AB63" s="569"/>
      <c r="AC63" s="569"/>
    </row>
    <row r="64" spans="2:29" ht="30" customHeight="1">
      <c r="AB64" s="569"/>
      <c r="AC64" s="569"/>
    </row>
    <row r="65" spans="28:29" ht="30" customHeight="1">
      <c r="AB65" s="569"/>
      <c r="AC65" s="569"/>
    </row>
    <row r="66" spans="28:29" ht="30" customHeight="1">
      <c r="AB66" s="569"/>
      <c r="AC66" s="569"/>
    </row>
    <row r="67" spans="28:29" ht="30" customHeight="1">
      <c r="AB67" s="569"/>
      <c r="AC67" s="569"/>
    </row>
    <row r="68" spans="28:29" ht="30" customHeight="1">
      <c r="AB68" s="569"/>
      <c r="AC68" s="569"/>
    </row>
    <row r="69" spans="28:29" ht="30" customHeight="1">
      <c r="AB69" s="569"/>
      <c r="AC69" s="569"/>
    </row>
    <row r="70" spans="28:29" ht="30" customHeight="1">
      <c r="AB70" s="569"/>
      <c r="AC70" s="569"/>
    </row>
    <row r="71" spans="28:29" ht="30" customHeight="1">
      <c r="AB71" s="569"/>
      <c r="AC71" s="569"/>
    </row>
    <row r="72" spans="28:29" ht="30" customHeight="1">
      <c r="AB72" s="569"/>
      <c r="AC72" s="569"/>
    </row>
    <row r="73" spans="28:29" ht="30" customHeight="1">
      <c r="AB73" s="569"/>
      <c r="AC73" s="569"/>
    </row>
    <row r="74" spans="28:29" ht="30" customHeight="1">
      <c r="AB74" s="569"/>
      <c r="AC74" s="569"/>
    </row>
    <row r="75" spans="28:29" ht="30" customHeight="1">
      <c r="AB75" s="569"/>
      <c r="AC75" s="569"/>
    </row>
    <row r="76" spans="28:29" ht="30" customHeight="1">
      <c r="AB76" s="569"/>
      <c r="AC76" s="569"/>
    </row>
    <row r="77" spans="28:29" ht="30" customHeight="1">
      <c r="AB77" s="569"/>
      <c r="AC77" s="569"/>
    </row>
    <row r="78" spans="28:29" ht="30" customHeight="1">
      <c r="AB78" s="569"/>
      <c r="AC78" s="569"/>
    </row>
    <row r="79" spans="28:29" ht="30" customHeight="1">
      <c r="AB79" s="569"/>
      <c r="AC79" s="569"/>
    </row>
    <row r="80" spans="28:29" ht="30" customHeight="1">
      <c r="AB80" s="569"/>
      <c r="AC80" s="569"/>
    </row>
    <row r="81" spans="28:29" ht="30" customHeight="1">
      <c r="AB81" s="569"/>
      <c r="AC81" s="569"/>
    </row>
    <row r="82" spans="28:29" ht="30" customHeight="1">
      <c r="AB82" s="569"/>
      <c r="AC82" s="569"/>
    </row>
    <row r="83" spans="28:29" ht="30" customHeight="1">
      <c r="AB83" s="569"/>
      <c r="AC83" s="569"/>
    </row>
    <row r="84" spans="28:29" ht="30" customHeight="1">
      <c r="AB84" s="569"/>
      <c r="AC84" s="569"/>
    </row>
    <row r="85" spans="28:29" ht="30" customHeight="1">
      <c r="AB85" s="569"/>
      <c r="AC85" s="569"/>
    </row>
    <row r="86" spans="28:29" ht="30" customHeight="1">
      <c r="AB86" s="569"/>
      <c r="AC86" s="569"/>
    </row>
    <row r="87" spans="28:29" ht="30" customHeight="1">
      <c r="AB87" s="569"/>
      <c r="AC87" s="569"/>
    </row>
    <row r="88" spans="28:29" ht="30" customHeight="1">
      <c r="AB88" s="569"/>
      <c r="AC88" s="569"/>
    </row>
    <row r="89" spans="28:29" ht="30" customHeight="1">
      <c r="AB89" s="569"/>
      <c r="AC89" s="569"/>
    </row>
    <row r="90" spans="28:29" ht="30" customHeight="1">
      <c r="AB90" s="569"/>
      <c r="AC90" s="569"/>
    </row>
    <row r="91" spans="28:29" ht="30" customHeight="1">
      <c r="AB91" s="569"/>
      <c r="AC91" s="569"/>
    </row>
    <row r="92" spans="28:29" ht="30" customHeight="1">
      <c r="AB92" s="569"/>
      <c r="AC92" s="569"/>
    </row>
    <row r="93" spans="28:29">
      <c r="AB93" s="569"/>
      <c r="AC93" s="569"/>
    </row>
    <row r="94" spans="28:29">
      <c r="AB94" s="569"/>
      <c r="AC94" s="569"/>
    </row>
    <row r="95" spans="28:29">
      <c r="AB95" s="569"/>
      <c r="AC95" s="569"/>
    </row>
    <row r="96" spans="28:29">
      <c r="AB96" s="569"/>
      <c r="AC96" s="569"/>
    </row>
    <row r="97" spans="2:33">
      <c r="AB97" s="569"/>
      <c r="AC97" s="569"/>
    </row>
    <row r="98" spans="2:33" ht="35.1" customHeight="1">
      <c r="AB98" s="569"/>
      <c r="AC98" s="569"/>
    </row>
    <row r="99" spans="2:33" ht="17.7" customHeight="1">
      <c r="AB99" s="569"/>
      <c r="AC99" s="569"/>
    </row>
    <row r="100" spans="2:33" ht="24" customHeight="1">
      <c r="AB100" s="569"/>
      <c r="AC100" s="569"/>
    </row>
    <row r="101" spans="2:33" s="588" customFormat="1" ht="24" customHeight="1">
      <c r="Q101" s="601"/>
    </row>
    <row r="102" spans="2:33" s="602" customFormat="1" ht="24" customHeight="1">
      <c r="Q102" s="603"/>
      <c r="AG102" s="604"/>
    </row>
    <row r="103" spans="2:33" s="602" customFormat="1" ht="24" customHeight="1">
      <c r="Q103" s="603"/>
    </row>
    <row r="104" spans="2:33" ht="24" customHeight="1">
      <c r="AB104" s="569"/>
      <c r="AC104" s="569"/>
    </row>
    <row r="105" spans="2:33" ht="24" customHeight="1">
      <c r="AB105" s="569"/>
      <c r="AC105" s="569"/>
    </row>
    <row r="106" spans="2:33" ht="24" customHeight="1">
      <c r="AB106" s="569"/>
      <c r="AC106" s="569"/>
    </row>
    <row r="107" spans="2:33" ht="24" customHeight="1">
      <c r="B107" s="571"/>
      <c r="C107" s="571"/>
      <c r="D107" s="571"/>
      <c r="E107" s="571"/>
      <c r="F107" s="571"/>
      <c r="G107" s="571"/>
      <c r="H107" s="571"/>
      <c r="I107" s="571"/>
      <c r="J107" s="571"/>
      <c r="K107" s="571"/>
      <c r="L107" s="571"/>
      <c r="M107" s="571"/>
      <c r="N107" s="571"/>
      <c r="O107" s="571"/>
      <c r="P107" s="571"/>
      <c r="Q107" s="600"/>
      <c r="R107" s="571"/>
      <c r="S107" s="571"/>
      <c r="T107" s="571"/>
      <c r="U107" s="571"/>
      <c r="V107" s="571"/>
      <c r="W107" s="571"/>
      <c r="X107" s="571"/>
      <c r="Y107" s="571"/>
      <c r="Z107" s="571"/>
      <c r="AA107" s="571"/>
      <c r="AC107" s="571"/>
    </row>
    <row r="108" spans="2:33" ht="24" customHeight="1">
      <c r="B108" s="571"/>
      <c r="C108" s="571"/>
      <c r="D108" s="571"/>
      <c r="E108" s="571"/>
      <c r="F108" s="571"/>
      <c r="G108" s="571"/>
      <c r="H108" s="571"/>
      <c r="I108" s="571"/>
      <c r="J108" s="571"/>
      <c r="K108" s="571"/>
      <c r="L108" s="571"/>
      <c r="M108" s="571"/>
      <c r="N108" s="571"/>
      <c r="O108" s="571"/>
      <c r="P108" s="571"/>
      <c r="Q108" s="600"/>
      <c r="R108" s="571"/>
      <c r="S108" s="571"/>
      <c r="T108" s="571"/>
      <c r="U108" s="571"/>
      <c r="V108" s="571"/>
      <c r="W108" s="571"/>
      <c r="X108" s="571"/>
      <c r="Y108" s="571"/>
      <c r="Z108" s="571"/>
      <c r="AA108" s="571"/>
      <c r="AC108" s="571"/>
    </row>
    <row r="109" spans="2:33" ht="24" customHeight="1">
      <c r="B109" s="571"/>
      <c r="C109" s="571"/>
      <c r="D109" s="571"/>
      <c r="E109" s="571"/>
      <c r="F109" s="571"/>
      <c r="G109" s="571"/>
      <c r="H109" s="571"/>
      <c r="I109" s="571"/>
      <c r="K109" s="571"/>
      <c r="P109" s="571"/>
      <c r="AB109" s="569"/>
      <c r="AC109" s="569"/>
    </row>
    <row r="110" spans="2:33" ht="24" customHeight="1">
      <c r="B110" s="571"/>
      <c r="C110" s="571"/>
      <c r="D110" s="571"/>
      <c r="E110" s="571"/>
      <c r="F110" s="571"/>
      <c r="G110" s="571"/>
      <c r="H110" s="571"/>
      <c r="I110" s="571"/>
      <c r="K110" s="571"/>
      <c r="P110" s="571"/>
      <c r="AB110" s="569"/>
      <c r="AC110" s="569"/>
    </row>
    <row r="111" spans="2:33" ht="24" customHeight="1">
      <c r="B111" s="571"/>
      <c r="C111" s="571"/>
      <c r="D111" s="571"/>
      <c r="E111" s="571"/>
      <c r="F111" s="571"/>
      <c r="G111" s="571"/>
      <c r="H111" s="571"/>
      <c r="I111" s="571"/>
      <c r="K111" s="571"/>
      <c r="P111" s="571"/>
      <c r="AB111" s="605" t="e">
        <f>L47+#REF!</f>
        <v>#DIV/0!</v>
      </c>
      <c r="AC111" s="605"/>
    </row>
    <row r="112" spans="2:33" ht="24" customHeight="1">
      <c r="B112" s="571"/>
      <c r="C112" s="571"/>
      <c r="D112" s="571"/>
      <c r="E112" s="571"/>
      <c r="F112" s="571"/>
      <c r="G112" s="571"/>
      <c r="H112" s="571"/>
      <c r="I112" s="571"/>
      <c r="K112" s="571"/>
      <c r="P112" s="571"/>
      <c r="AB112" s="569"/>
      <c r="AC112" s="569"/>
    </row>
    <row r="113" spans="26:29" ht="24" customHeight="1">
      <c r="Z113" s="569" t="e">
        <f>'&lt;서식8&gt;현금흐름분석'!#REF!-'&lt;서식8&gt;현금흐름분석'!E47</f>
        <v>#REF!</v>
      </c>
      <c r="AB113" s="569"/>
      <c r="AC113" s="569"/>
    </row>
    <row r="114" spans="26:29" ht="24" customHeight="1">
      <c r="AB114" s="569"/>
      <c r="AC114" s="569"/>
    </row>
    <row r="115" spans="26:29" ht="24" customHeight="1">
      <c r="AB115" s="569"/>
      <c r="AC115" s="569"/>
    </row>
    <row r="116" spans="26:29" ht="24" customHeight="1">
      <c r="AB116" s="569"/>
      <c r="AC116" s="569"/>
    </row>
    <row r="117" spans="26:29" ht="24" customHeight="1">
      <c r="AB117" s="569"/>
      <c r="AC117" s="569"/>
    </row>
    <row r="118" spans="26:29" ht="24" customHeight="1">
      <c r="AB118" s="569"/>
      <c r="AC118" s="569"/>
    </row>
    <row r="119" spans="26:29" ht="24" customHeight="1">
      <c r="AB119" s="569"/>
      <c r="AC119" s="569"/>
    </row>
    <row r="120" spans="26:29" ht="24" customHeight="1">
      <c r="AB120" s="569"/>
      <c r="AC120" s="569"/>
    </row>
    <row r="121" spans="26:29" ht="24" customHeight="1">
      <c r="AB121" s="569"/>
      <c r="AC121" s="569"/>
    </row>
    <row r="122" spans="26:29" ht="24" customHeight="1">
      <c r="AB122" s="569"/>
      <c r="AC122" s="569"/>
    </row>
    <row r="123" spans="26:29" ht="24" customHeight="1">
      <c r="AB123" s="569"/>
      <c r="AC123" s="569"/>
    </row>
    <row r="124" spans="26:29" ht="24" customHeight="1">
      <c r="AB124" s="569"/>
      <c r="AC124" s="569"/>
    </row>
    <row r="125" spans="26:29" ht="24" customHeight="1">
      <c r="AB125" s="569"/>
      <c r="AC125" s="569"/>
    </row>
    <row r="126" spans="26:29" ht="24" customHeight="1">
      <c r="AB126" s="569"/>
      <c r="AC126" s="569"/>
    </row>
    <row r="127" spans="26:29" ht="24" customHeight="1">
      <c r="AB127" s="569"/>
      <c r="AC127" s="569"/>
    </row>
    <row r="128" spans="26:29" ht="24" customHeight="1">
      <c r="AB128" s="569"/>
      <c r="AC128" s="569"/>
    </row>
    <row r="129" spans="28:29" ht="24" customHeight="1">
      <c r="AB129" s="569"/>
      <c r="AC129" s="569"/>
    </row>
    <row r="130" spans="28:29" ht="24" customHeight="1">
      <c r="AB130" s="569"/>
      <c r="AC130" s="569"/>
    </row>
    <row r="131" spans="28:29" ht="24" customHeight="1">
      <c r="AB131" s="569"/>
      <c r="AC131" s="569"/>
    </row>
    <row r="132" spans="28:29" ht="24" customHeight="1">
      <c r="AB132" s="569"/>
      <c r="AC132" s="569"/>
    </row>
    <row r="133" spans="28:29" ht="24" customHeight="1">
      <c r="AB133" s="569"/>
      <c r="AC133" s="569"/>
    </row>
    <row r="134" spans="28:29" ht="24" customHeight="1">
      <c r="AB134" s="569"/>
      <c r="AC134" s="569"/>
    </row>
    <row r="135" spans="28:29" ht="24" customHeight="1">
      <c r="AB135" s="569"/>
      <c r="AC135" s="569"/>
    </row>
    <row r="136" spans="28:29" ht="24" customHeight="1">
      <c r="AB136" s="569"/>
      <c r="AC136" s="569"/>
    </row>
    <row r="137" spans="28:29" ht="24" customHeight="1">
      <c r="AB137" s="569"/>
      <c r="AC137" s="569"/>
    </row>
    <row r="138" spans="28:29" ht="24" customHeight="1">
      <c r="AB138" s="569"/>
      <c r="AC138" s="569"/>
    </row>
    <row r="139" spans="28:29" ht="24" customHeight="1">
      <c r="AB139" s="569"/>
      <c r="AC139" s="569"/>
    </row>
    <row r="140" spans="28:29" ht="24" customHeight="1">
      <c r="AB140" s="569"/>
      <c r="AC140" s="569"/>
    </row>
    <row r="141" spans="28:29" ht="29.7" customHeight="1">
      <c r="AB141" s="569"/>
      <c r="AC141" s="569"/>
    </row>
    <row r="142" spans="28:29">
      <c r="AB142" s="569"/>
      <c r="AC142" s="569"/>
    </row>
    <row r="143" spans="28:29">
      <c r="AB143" s="569"/>
      <c r="AC143" s="569"/>
    </row>
    <row r="144" spans="28:29">
      <c r="AB144" s="569"/>
      <c r="AC144" s="569"/>
    </row>
    <row r="145" spans="1:29">
      <c r="A145" s="588"/>
      <c r="J145" s="599"/>
      <c r="M145" s="599"/>
      <c r="N145" s="569"/>
      <c r="AB145" s="569"/>
      <c r="AC145" s="571"/>
    </row>
    <row r="146" spans="1:29">
      <c r="A146" s="602"/>
      <c r="J146" s="599"/>
      <c r="M146" s="599"/>
      <c r="N146" s="569"/>
      <c r="AB146" s="569"/>
      <c r="AC146" s="571"/>
    </row>
    <row r="147" spans="1:29">
      <c r="A147" s="606"/>
      <c r="J147" s="548"/>
      <c r="L147" s="548"/>
      <c r="M147" s="548"/>
      <c r="AB147" s="569"/>
      <c r="AC147" s="569"/>
    </row>
    <row r="148" spans="1:29" ht="14.4">
      <c r="A148" s="607" t="s">
        <v>59</v>
      </c>
      <c r="AB148" s="569"/>
      <c r="AC148" s="569"/>
    </row>
    <row r="149" spans="1:29">
      <c r="A149" s="608"/>
      <c r="AB149" s="569"/>
      <c r="AC149" s="569"/>
    </row>
    <row r="150" spans="1:29">
      <c r="A150" s="608"/>
      <c r="L150" s="599"/>
      <c r="AB150" s="569"/>
      <c r="AC150" s="569"/>
    </row>
    <row r="151" spans="1:29">
      <c r="L151" s="599"/>
      <c r="AB151" s="569"/>
      <c r="AC151" s="569"/>
    </row>
    <row r="152" spans="1:29">
      <c r="L152" s="599"/>
      <c r="AB152" s="569"/>
      <c r="AC152" s="569"/>
    </row>
    <row r="155" spans="1:29">
      <c r="D155" s="569"/>
    </row>
    <row r="156" spans="1:29">
      <c r="D156" s="569"/>
    </row>
    <row r="163" spans="2:32" ht="14.4">
      <c r="B163" s="588"/>
      <c r="P163" s="609"/>
      <c r="Q163" s="610"/>
      <c r="R163" s="609"/>
      <c r="S163" s="609"/>
      <c r="T163" s="609"/>
      <c r="U163" s="609"/>
      <c r="V163" s="609"/>
      <c r="X163" s="611"/>
      <c r="Y163" s="612" t="s">
        <v>284</v>
      </c>
      <c r="Z163" s="613"/>
      <c r="AA163" s="614" t="e">
        <f>'&lt;서식8&gt;현금흐름분석'!#REF!</f>
        <v>#REF!</v>
      </c>
      <c r="AB163" s="615"/>
      <c r="AC163" s="616"/>
      <c r="AD163" s="616"/>
      <c r="AE163" s="616"/>
      <c r="AF163" s="617"/>
    </row>
    <row r="164" spans="2:32" ht="14.4">
      <c r="B164" s="618"/>
      <c r="P164" s="619"/>
      <c r="Q164" s="620"/>
      <c r="R164" s="602"/>
      <c r="S164" s="602"/>
      <c r="T164" s="602"/>
      <c r="U164" s="602"/>
      <c r="V164" s="602"/>
      <c r="W164" s="602"/>
      <c r="X164" s="602"/>
      <c r="Y164" s="548"/>
      <c r="Z164" s="622"/>
      <c r="AA164" s="622"/>
      <c r="AB164" s="549"/>
      <c r="AC164" s="623"/>
      <c r="AD164" s="623"/>
      <c r="AE164" s="624"/>
      <c r="AF164" s="549"/>
    </row>
    <row r="165" spans="2:32" ht="14.4">
      <c r="B165" s="618"/>
      <c r="P165" s="548"/>
      <c r="Q165" s="625"/>
      <c r="R165" s="548"/>
      <c r="S165" s="548"/>
      <c r="T165" s="548"/>
      <c r="U165" s="548"/>
      <c r="V165" s="548"/>
      <c r="W165" s="548"/>
      <c r="X165" s="626"/>
      <c r="Y165" s="547"/>
      <c r="Z165" s="548"/>
      <c r="AA165" s="548"/>
      <c r="AB165" s="549"/>
      <c r="AC165" s="548"/>
      <c r="AD165" s="602"/>
      <c r="AE165" s="602"/>
      <c r="AF165" s="602"/>
    </row>
    <row r="169" spans="2:32">
      <c r="B169" s="571"/>
      <c r="AA169" s="627"/>
    </row>
    <row r="170" spans="2:32">
      <c r="B170" s="571"/>
      <c r="AA170" s="627"/>
    </row>
  </sheetData>
  <mergeCells count="6">
    <mergeCell ref="B4:B5"/>
    <mergeCell ref="C4:C5"/>
    <mergeCell ref="Q4:Q5"/>
    <mergeCell ref="D4:D5"/>
    <mergeCell ref="L4:O4"/>
    <mergeCell ref="E4:J4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4" fitToWidth="0" orientation="portrait" horizontalDpi="300" verticalDpi="300" r:id="rId1"/>
  <headerFooter alignWithMargins="0"/>
  <rowBreaks count="2" manualBreakCount="2">
    <brk id="49" max="14" man="1"/>
    <brk id="95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6"/>
  <sheetViews>
    <sheetView view="pageBreakPreview" zoomScale="70" zoomScaleNormal="70" zoomScaleSheetLayoutView="7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ColWidth="8.8984375" defaultRowHeight="14.4"/>
  <cols>
    <col min="1" max="1" width="1.09765625" style="279" customWidth="1"/>
    <col min="2" max="2" width="3.19921875" style="279" customWidth="1"/>
    <col min="3" max="3" width="14.59765625" style="279" bestFit="1" customWidth="1"/>
    <col min="4" max="4" width="13" style="279" customWidth="1"/>
    <col min="5" max="6" width="14.19921875" style="279" bestFit="1" customWidth="1"/>
    <col min="7" max="7" width="13.3984375" style="279" customWidth="1"/>
    <col min="8" max="8" width="11.09765625" style="279" customWidth="1"/>
    <col min="9" max="9" width="12.19921875" style="279" customWidth="1"/>
    <col min="10" max="10" width="13" style="279" customWidth="1"/>
    <col min="11" max="11" width="12.796875" style="279" customWidth="1"/>
    <col min="12" max="12" width="13.19921875" style="279" customWidth="1"/>
    <col min="13" max="14" width="13" style="279" customWidth="1"/>
    <col min="15" max="15" width="13.296875" style="279" bestFit="1" customWidth="1"/>
    <col min="16" max="16" width="11.8984375" style="279" customWidth="1"/>
    <col min="17" max="17" width="0.69921875" style="279" customWidth="1"/>
    <col min="18" max="18" width="16.296875" style="569" customWidth="1"/>
    <col min="19" max="30" width="14.796875" style="279" customWidth="1"/>
    <col min="31" max="31" width="12.69921875" style="279" bestFit="1" customWidth="1"/>
    <col min="32" max="16384" width="8.8984375" style="279"/>
  </cols>
  <sheetData>
    <row r="1" spans="1:31" s="628" customFormat="1" ht="19.5" customHeight="1" thickBot="1">
      <c r="R1" s="629"/>
    </row>
    <row r="2" spans="1:31" s="628" customFormat="1" ht="44.25" customHeight="1" thickBot="1">
      <c r="A2" s="630"/>
      <c r="B2" s="862" t="s">
        <v>320</v>
      </c>
      <c r="C2" s="863"/>
      <c r="D2" s="863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2"/>
      <c r="P2" s="632"/>
      <c r="Q2" s="633"/>
      <c r="R2" s="634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</row>
    <row r="3" spans="1:31" s="628" customFormat="1" ht="19.5" customHeight="1" thickBot="1">
      <c r="A3" s="636"/>
      <c r="B3" s="637"/>
      <c r="C3" s="637"/>
      <c r="D3" s="637"/>
      <c r="E3" s="637"/>
      <c r="F3" s="637"/>
      <c r="G3" s="638"/>
      <c r="H3" s="638"/>
      <c r="I3" s="637"/>
      <c r="J3" s="638"/>
      <c r="K3" s="638"/>
      <c r="L3" s="638"/>
      <c r="M3" s="638"/>
      <c r="N3" s="638"/>
      <c r="O3" s="639"/>
      <c r="P3" s="639"/>
      <c r="Q3" s="640"/>
      <c r="R3" s="629"/>
      <c r="S3" s="635"/>
      <c r="T3" s="635"/>
      <c r="U3" s="635"/>
      <c r="V3" s="635"/>
      <c r="W3" s="635"/>
      <c r="X3" s="635"/>
      <c r="Y3" s="635"/>
      <c r="Z3" s="635"/>
      <c r="AA3" s="569">
        <f>'&lt;서식5&gt;재원조달계획'!I7</f>
        <v>1197000000</v>
      </c>
      <c r="AB3" s="569">
        <f>'&lt;서식5&gt;재원조달계획'!I8</f>
        <v>0</v>
      </c>
      <c r="AC3" s="569">
        <f>'&lt;서식5&gt;재원조달계획'!I9</f>
        <v>0</v>
      </c>
      <c r="AD3" s="569">
        <f>'&lt;서식5&gt;재원조달계획'!I10</f>
        <v>0</v>
      </c>
    </row>
    <row r="4" spans="1:31" s="628" customFormat="1" ht="21.75" customHeight="1">
      <c r="A4" s="636"/>
      <c r="B4" s="1223" t="s">
        <v>57</v>
      </c>
      <c r="C4" s="1229" t="s">
        <v>53</v>
      </c>
      <c r="D4" s="1225" t="s">
        <v>168</v>
      </c>
      <c r="E4" s="1233" t="s">
        <v>176</v>
      </c>
      <c r="F4" s="1234"/>
      <c r="G4" s="641"/>
      <c r="H4" s="1231" t="s">
        <v>178</v>
      </c>
      <c r="I4" s="1231"/>
      <c r="J4" s="1231"/>
      <c r="K4" s="1231"/>
      <c r="L4" s="1231"/>
      <c r="M4" s="1231"/>
      <c r="N4" s="1231"/>
      <c r="O4" s="1231"/>
      <c r="P4" s="1232"/>
      <c r="Q4" s="640"/>
      <c r="R4" s="1227" t="s">
        <v>156</v>
      </c>
      <c r="S4" s="642" t="s">
        <v>93</v>
      </c>
      <c r="T4" s="642"/>
      <c r="U4" s="642"/>
      <c r="V4" s="643"/>
      <c r="W4" s="644" t="s">
        <v>56</v>
      </c>
      <c r="X4" s="642"/>
      <c r="Y4" s="642"/>
      <c r="Z4" s="643"/>
      <c r="AA4" s="645" t="s">
        <v>55</v>
      </c>
      <c r="AB4" s="641"/>
      <c r="AC4" s="641"/>
      <c r="AD4" s="646"/>
    </row>
    <row r="5" spans="1:31" s="628" customFormat="1" ht="43.5" customHeight="1">
      <c r="A5" s="636"/>
      <c r="B5" s="1224"/>
      <c r="C5" s="1230"/>
      <c r="D5" s="1226"/>
      <c r="E5" s="647" t="s">
        <v>163</v>
      </c>
      <c r="F5" s="647" t="s">
        <v>167</v>
      </c>
      <c r="G5" s="648" t="s">
        <v>54</v>
      </c>
      <c r="H5" s="647" t="s">
        <v>385</v>
      </c>
      <c r="I5" s="647" t="s">
        <v>384</v>
      </c>
      <c r="J5" s="647" t="s">
        <v>77</v>
      </c>
      <c r="K5" s="647" t="s">
        <v>275</v>
      </c>
      <c r="L5" s="647" t="s">
        <v>155</v>
      </c>
      <c r="M5" s="647" t="s">
        <v>383</v>
      </c>
      <c r="N5" s="647" t="s">
        <v>382</v>
      </c>
      <c r="O5" s="647" t="s">
        <v>164</v>
      </c>
      <c r="P5" s="649" t="s">
        <v>167</v>
      </c>
      <c r="Q5" s="650"/>
      <c r="R5" s="1228"/>
      <c r="S5" s="651" t="s">
        <v>89</v>
      </c>
      <c r="T5" s="652" t="s">
        <v>90</v>
      </c>
      <c r="U5" s="652" t="s">
        <v>91</v>
      </c>
      <c r="V5" s="652" t="s">
        <v>92</v>
      </c>
      <c r="W5" s="652" t="s">
        <v>89</v>
      </c>
      <c r="X5" s="652" t="s">
        <v>90</v>
      </c>
      <c r="Y5" s="652" t="s">
        <v>91</v>
      </c>
      <c r="Z5" s="652" t="s">
        <v>92</v>
      </c>
      <c r="AA5" s="573" t="s">
        <v>89</v>
      </c>
      <c r="AB5" s="573" t="s">
        <v>90</v>
      </c>
      <c r="AC5" s="573" t="s">
        <v>91</v>
      </c>
      <c r="AD5" s="653" t="s">
        <v>92</v>
      </c>
    </row>
    <row r="6" spans="1:31" ht="30" customHeight="1">
      <c r="A6" s="654"/>
      <c r="B6" s="854">
        <v>0</v>
      </c>
      <c r="C6" s="944" t="s">
        <v>86</v>
      </c>
      <c r="D6" s="232" t="e">
        <f>F6+P6+H6+I6+J6</f>
        <v>#DIV/0!</v>
      </c>
      <c r="E6" s="224">
        <f t="shared" ref="E6:E46" si="0">SUM(S6:V6)</f>
        <v>0</v>
      </c>
      <c r="F6" s="223">
        <f>SUM(E6)</f>
        <v>0</v>
      </c>
      <c r="G6" s="224">
        <f>'&lt;서식1&gt;사업개요'!M8</f>
        <v>0</v>
      </c>
      <c r="H6" s="224">
        <f>'&lt;서식3&gt;초기사업비 산정'!G8</f>
        <v>0</v>
      </c>
      <c r="I6" s="224"/>
      <c r="J6" s="224" t="e">
        <f>'&lt;서식3&gt;초기사업비 산정'!G42-H6</f>
        <v>#DIV/0!</v>
      </c>
      <c r="K6" s="948"/>
      <c r="L6" s="947" t="s">
        <v>386</v>
      </c>
      <c r="M6" s="224">
        <f>('&lt;서식3&gt;초기사업비 산정'!G68)</f>
        <v>0</v>
      </c>
      <c r="N6" s="948"/>
      <c r="O6" s="224">
        <f>SUM(W6:Z6)</f>
        <v>23940000</v>
      </c>
      <c r="P6" s="233" t="e">
        <f>SUM(J6:O6)-J6</f>
        <v>#DIV/0!</v>
      </c>
      <c r="Q6" s="568"/>
      <c r="R6" s="655"/>
      <c r="S6" s="656"/>
      <c r="T6" s="657"/>
      <c r="U6" s="657"/>
      <c r="V6" s="657"/>
      <c r="W6" s="658">
        <f>'&lt;서식5&gt;재원조달계획'!F7*'&lt;서식5&gt;재원조달계획'!E19</f>
        <v>23940000</v>
      </c>
      <c r="X6" s="658">
        <f>'&lt;서식5&gt;재원조달계획'!F8*'&lt;서식5&gt;재원조달계획'!E20</f>
        <v>0</v>
      </c>
      <c r="Y6" s="658">
        <f>'&lt;서식5&gt;재원조달계획'!F9*'&lt;서식5&gt;재원조달계획'!E21</f>
        <v>0</v>
      </c>
      <c r="Z6" s="658">
        <f>'&lt;서식5&gt;재원조달계획'!F10*'&lt;서식5&gt;재원조달계획'!E22</f>
        <v>0</v>
      </c>
      <c r="AA6" s="659">
        <f>'&lt;서식5&gt;재원조달계획'!$F$7-S6</f>
        <v>1197000000</v>
      </c>
      <c r="AB6" s="659">
        <f>'&lt;서식5&gt;재원조달계획'!$F$8-T6</f>
        <v>0</v>
      </c>
      <c r="AC6" s="659">
        <f>'&lt;서식5&gt;재원조달계획'!$F$9-U6</f>
        <v>0</v>
      </c>
      <c r="AD6" s="660">
        <f>'&lt;서식5&gt;재원조달계획'!$F$10-V6</f>
        <v>0</v>
      </c>
      <c r="AE6" s="661">
        <f>SUM(W6:Z6)</f>
        <v>23940000</v>
      </c>
    </row>
    <row r="7" spans="1:31" ht="30" customHeight="1">
      <c r="A7" s="654"/>
      <c r="B7" s="855">
        <v>1</v>
      </c>
      <c r="C7" s="945" t="s">
        <v>380</v>
      </c>
      <c r="D7" s="232" t="e">
        <f t="shared" ref="D7:D46" si="1">F7+P7+H7+I7-K7</f>
        <v>#DIV/0!</v>
      </c>
      <c r="E7" s="166">
        <f t="shared" si="0"/>
        <v>718200000</v>
      </c>
      <c r="F7" s="222">
        <f t="shared" ref="F7:F46" si="2">SUM(E7)</f>
        <v>718200000</v>
      </c>
      <c r="G7" s="166">
        <f t="shared" ref="G7:G46" si="3">G6+(G6*R7)</f>
        <v>0</v>
      </c>
      <c r="H7" s="218">
        <f t="shared" ref="H7:H46" si="4">IF(R7=0,0,(G7-G5)*1%*2)</f>
        <v>0</v>
      </c>
      <c r="I7" s="166"/>
      <c r="J7" s="163"/>
      <c r="K7" s="163" t="e">
        <f>$J$6/40</f>
        <v>#DIV/0!</v>
      </c>
      <c r="L7" s="226">
        <f>G7*'&lt;서식5&gt;재원조달계획'!$I$20*8/12</f>
        <v>0</v>
      </c>
      <c r="M7" s="226">
        <f>('&lt;서식3&gt;초기사업비 산정'!G68)*8/12</f>
        <v>0</v>
      </c>
      <c r="N7" s="226" t="e">
        <f>'&lt;서식3&gt;초기사업비 산정'!G64</f>
        <v>#DIV/0!</v>
      </c>
      <c r="O7" s="163">
        <f t="shared" ref="O7:O46" si="5">SUM(W7:Z7)</f>
        <v>15960000</v>
      </c>
      <c r="P7" s="233" t="e">
        <f t="shared" ref="P7:P46" si="6">SUM(J7:O7)</f>
        <v>#DIV/0!</v>
      </c>
      <c r="Q7" s="568"/>
      <c r="R7" s="662">
        <v>0</v>
      </c>
      <c r="S7" s="663">
        <f>'&lt;서식5&gt;재원조달계획'!$F$7*60%</f>
        <v>718200000</v>
      </c>
      <c r="T7" s="664">
        <f>'&lt;서식5&gt;재원조달계획'!$F$8*70%</f>
        <v>0</v>
      </c>
      <c r="U7" s="664">
        <f>'&lt;서식5&gt;재원조달계획'!$F$9*30%</f>
        <v>0</v>
      </c>
      <c r="V7" s="664">
        <f>'&lt;서식5&gt;재원조달계획'!$F$10*100%</f>
        <v>0</v>
      </c>
      <c r="W7" s="665">
        <f>AA6*'&lt;서식5&gt;재원조달계획'!$E$19*8/12</f>
        <v>15960000</v>
      </c>
      <c r="X7" s="665">
        <f>AB6*'&lt;서식5&gt;재원조달계획'!$E$20*8/12</f>
        <v>0</v>
      </c>
      <c r="Y7" s="665">
        <f>AC6*'&lt;서식5&gt;재원조달계획'!$E$21*8/12</f>
        <v>0</v>
      </c>
      <c r="Z7" s="665">
        <f>AD6*'&lt;서식5&gt;재원조달계획'!$E$22*8/12</f>
        <v>0</v>
      </c>
      <c r="AA7" s="665">
        <f t="shared" ref="AA7:AD11" si="7">AA6-S7</f>
        <v>478800000</v>
      </c>
      <c r="AB7" s="665">
        <f t="shared" si="7"/>
        <v>0</v>
      </c>
      <c r="AC7" s="665">
        <f t="shared" si="7"/>
        <v>0</v>
      </c>
      <c r="AD7" s="666">
        <f t="shared" si="7"/>
        <v>0</v>
      </c>
      <c r="AE7" s="661">
        <f t="shared" ref="AE7:AE22" si="8">SUM(W7:Z7)</f>
        <v>15960000</v>
      </c>
    </row>
    <row r="8" spans="1:31" ht="30" customHeight="1">
      <c r="A8" s="654"/>
      <c r="B8" s="855">
        <v>2</v>
      </c>
      <c r="C8" s="228">
        <f>2020</f>
        <v>2020</v>
      </c>
      <c r="D8" s="232" t="e">
        <f t="shared" si="1"/>
        <v>#DIV/0!</v>
      </c>
      <c r="E8" s="166">
        <f t="shared" si="0"/>
        <v>34200000</v>
      </c>
      <c r="F8" s="222">
        <f t="shared" si="2"/>
        <v>34200000</v>
      </c>
      <c r="G8" s="166">
        <f t="shared" si="3"/>
        <v>0</v>
      </c>
      <c r="H8" s="218">
        <f t="shared" si="4"/>
        <v>0</v>
      </c>
      <c r="I8" s="166"/>
      <c r="J8" s="163"/>
      <c r="K8" s="163" t="e">
        <f t="shared" ref="K8:K46" si="9">$J$6/40</f>
        <v>#DIV/0!</v>
      </c>
      <c r="L8" s="226">
        <f>G8*'&lt;서식5&gt;재원조달계획'!$I$20</f>
        <v>0</v>
      </c>
      <c r="M8" s="226">
        <f>('&lt;서식3&gt;초기사업비 산정'!G68)*(1+'&lt;서식5&gt;재원조달계획'!$I$19)</f>
        <v>0</v>
      </c>
      <c r="N8" s="226" t="e">
        <f>N7*(1+'&lt;서식5&gt;재원조달계획'!$I$19)</f>
        <v>#DIV/0!</v>
      </c>
      <c r="O8" s="163">
        <f t="shared" si="5"/>
        <v>9576000</v>
      </c>
      <c r="P8" s="233" t="e">
        <f t="shared" si="6"/>
        <v>#DIV/0!</v>
      </c>
      <c r="Q8" s="568"/>
      <c r="R8" s="662">
        <v>0.02</v>
      </c>
      <c r="S8" s="663">
        <f>('&lt;서식5&gt;재원조달계획'!$F$7-$S$7)/14</f>
        <v>34200000</v>
      </c>
      <c r="T8" s="664">
        <f>('&lt;서식5&gt;재원조달계획'!$F$8-$T$7)/6</f>
        <v>0</v>
      </c>
      <c r="U8" s="664">
        <f>'&lt;서식5&gt;재원조달계획'!$F$9*30%</f>
        <v>0</v>
      </c>
      <c r="V8" s="664">
        <f>('&lt;서식5&gt;재원조달계획'!$F$10-$V$7)/5</f>
        <v>0</v>
      </c>
      <c r="W8" s="667">
        <f>AA7*'&lt;서식5&gt;재원조달계획'!$E$19</f>
        <v>9576000</v>
      </c>
      <c r="X8" s="667">
        <f>AB7*'&lt;서식5&gt;재원조달계획'!$E$20</f>
        <v>0</v>
      </c>
      <c r="Y8" s="665">
        <f>AC7*'&lt;서식5&gt;재원조달계획'!$E$21*8/12</f>
        <v>0</v>
      </c>
      <c r="Z8" s="665">
        <f>AD7*'&lt;서식5&gt;재원조달계획'!$E$22</f>
        <v>0</v>
      </c>
      <c r="AA8" s="665">
        <f t="shared" si="7"/>
        <v>444600000</v>
      </c>
      <c r="AB8" s="665">
        <f t="shared" si="7"/>
        <v>0</v>
      </c>
      <c r="AC8" s="665">
        <f t="shared" si="7"/>
        <v>0</v>
      </c>
      <c r="AD8" s="666">
        <f t="shared" si="7"/>
        <v>0</v>
      </c>
      <c r="AE8" s="661">
        <f t="shared" si="8"/>
        <v>9576000</v>
      </c>
    </row>
    <row r="9" spans="1:31" ht="30" customHeight="1">
      <c r="A9" s="654"/>
      <c r="B9" s="855">
        <v>3</v>
      </c>
      <c r="C9" s="228">
        <f t="shared" ref="C9:C46" si="10">C8+1</f>
        <v>2021</v>
      </c>
      <c r="D9" s="232" t="e">
        <f t="shared" si="1"/>
        <v>#DIV/0!</v>
      </c>
      <c r="E9" s="166">
        <f t="shared" si="0"/>
        <v>34200000</v>
      </c>
      <c r="F9" s="222">
        <f t="shared" si="2"/>
        <v>34200000</v>
      </c>
      <c r="G9" s="166">
        <f t="shared" si="3"/>
        <v>0</v>
      </c>
      <c r="H9" s="218">
        <f t="shared" si="4"/>
        <v>0</v>
      </c>
      <c r="I9" s="166"/>
      <c r="J9" s="163"/>
      <c r="K9" s="163" t="e">
        <f t="shared" si="9"/>
        <v>#DIV/0!</v>
      </c>
      <c r="L9" s="226">
        <f>G9*'&lt;서식5&gt;재원조달계획'!$I$20</f>
        <v>0</v>
      </c>
      <c r="M9" s="226">
        <f>M8*(1+'&lt;서식5&gt;재원조달계획'!$I$19)</f>
        <v>0</v>
      </c>
      <c r="N9" s="226" t="e">
        <f>N8*(1+'&lt;서식5&gt;재원조달계획'!$I$19)</f>
        <v>#DIV/0!</v>
      </c>
      <c r="O9" s="163">
        <f t="shared" si="5"/>
        <v>8892000</v>
      </c>
      <c r="P9" s="233" t="e">
        <f t="shared" si="6"/>
        <v>#DIV/0!</v>
      </c>
      <c r="Q9" s="568"/>
      <c r="R9" s="662">
        <v>0</v>
      </c>
      <c r="S9" s="663">
        <f>('&lt;서식5&gt;재원조달계획'!$F$7-$S$7)/14</f>
        <v>34200000</v>
      </c>
      <c r="T9" s="664">
        <f>('&lt;서식5&gt;재원조달계획'!$F$8-$T$7)/6</f>
        <v>0</v>
      </c>
      <c r="U9" s="664">
        <f>'&lt;서식5&gt;재원조달계획'!$F$9*30%</f>
        <v>0</v>
      </c>
      <c r="V9" s="664">
        <f>('&lt;서식5&gt;재원조달계획'!$F$10-$V$7)/5</f>
        <v>0</v>
      </c>
      <c r="W9" s="667">
        <f>AA8*'&lt;서식5&gt;재원조달계획'!$E$19</f>
        <v>8892000</v>
      </c>
      <c r="X9" s="667">
        <f>AB8*'&lt;서식5&gt;재원조달계획'!$E$20</f>
        <v>0</v>
      </c>
      <c r="Y9" s="667">
        <f>AC8*'&lt;서식5&gt;재원조달계획'!$E$21*8/12</f>
        <v>0</v>
      </c>
      <c r="Z9" s="665">
        <f>AD8*'&lt;서식5&gt;재원조달계획'!$E$22</f>
        <v>0</v>
      </c>
      <c r="AA9" s="665">
        <f t="shared" si="7"/>
        <v>410400000</v>
      </c>
      <c r="AB9" s="665">
        <f t="shared" si="7"/>
        <v>0</v>
      </c>
      <c r="AC9" s="665">
        <f t="shared" si="7"/>
        <v>0</v>
      </c>
      <c r="AD9" s="666">
        <f t="shared" si="7"/>
        <v>0</v>
      </c>
      <c r="AE9" s="661">
        <f t="shared" si="8"/>
        <v>8892000</v>
      </c>
    </row>
    <row r="10" spans="1:31" ht="30" customHeight="1">
      <c r="A10" s="654"/>
      <c r="B10" s="855">
        <v>4</v>
      </c>
      <c r="C10" s="228">
        <f t="shared" si="10"/>
        <v>2022</v>
      </c>
      <c r="D10" s="232" t="e">
        <f t="shared" si="1"/>
        <v>#DIV/0!</v>
      </c>
      <c r="E10" s="166">
        <f t="shared" si="0"/>
        <v>34200000</v>
      </c>
      <c r="F10" s="222">
        <f t="shared" si="2"/>
        <v>34200000</v>
      </c>
      <c r="G10" s="166">
        <f t="shared" si="3"/>
        <v>0</v>
      </c>
      <c r="H10" s="218">
        <f t="shared" si="4"/>
        <v>0</v>
      </c>
      <c r="I10" s="166"/>
      <c r="J10" s="163"/>
      <c r="K10" s="163" t="e">
        <f t="shared" si="9"/>
        <v>#DIV/0!</v>
      </c>
      <c r="L10" s="226">
        <f>G10*'&lt;서식5&gt;재원조달계획'!$I$20</f>
        <v>0</v>
      </c>
      <c r="M10" s="226">
        <f>M9*(1+'&lt;서식5&gt;재원조달계획'!$I$19)</f>
        <v>0</v>
      </c>
      <c r="N10" s="226" t="e">
        <f>N9*(1+'&lt;서식5&gt;재원조달계획'!$I$19)</f>
        <v>#DIV/0!</v>
      </c>
      <c r="O10" s="163">
        <f t="shared" si="5"/>
        <v>8208000</v>
      </c>
      <c r="P10" s="233" t="e">
        <f t="shared" si="6"/>
        <v>#DIV/0!</v>
      </c>
      <c r="Q10" s="568"/>
      <c r="R10" s="662">
        <v>0.02</v>
      </c>
      <c r="S10" s="663">
        <f>('&lt;서식5&gt;재원조달계획'!$F$7-$S$7)/14</f>
        <v>34200000</v>
      </c>
      <c r="T10" s="664">
        <f>('&lt;서식5&gt;재원조달계획'!$F$8-$T$7)/6</f>
        <v>0</v>
      </c>
      <c r="U10" s="664">
        <f>'&lt;서식5&gt;재원조달계획'!$F$9*30%</f>
        <v>0</v>
      </c>
      <c r="V10" s="664">
        <f>('&lt;서식5&gt;재원조달계획'!$F$10-$V$7)/5</f>
        <v>0</v>
      </c>
      <c r="W10" s="667">
        <f>AA9*'&lt;서식5&gt;재원조달계획'!$E$19</f>
        <v>8208000</v>
      </c>
      <c r="X10" s="667">
        <f>AB9*'&lt;서식5&gt;재원조달계획'!$E$20</f>
        <v>0</v>
      </c>
      <c r="Y10" s="667">
        <f>AC9*'&lt;서식5&gt;재원조달계획'!$E$21*8/12</f>
        <v>0</v>
      </c>
      <c r="Z10" s="665">
        <f>AD9*'&lt;서식5&gt;재원조달계획'!$E$22</f>
        <v>0</v>
      </c>
      <c r="AA10" s="665">
        <f t="shared" si="7"/>
        <v>376200000</v>
      </c>
      <c r="AB10" s="665">
        <f t="shared" si="7"/>
        <v>0</v>
      </c>
      <c r="AC10" s="665">
        <f t="shared" si="7"/>
        <v>0</v>
      </c>
      <c r="AD10" s="666">
        <f t="shared" si="7"/>
        <v>0</v>
      </c>
      <c r="AE10" s="661">
        <f t="shared" si="8"/>
        <v>8208000</v>
      </c>
    </row>
    <row r="11" spans="1:31" ht="30" customHeight="1">
      <c r="A11" s="654"/>
      <c r="B11" s="855">
        <v>5</v>
      </c>
      <c r="C11" s="228">
        <f t="shared" si="10"/>
        <v>2023</v>
      </c>
      <c r="D11" s="232" t="e">
        <f t="shared" si="1"/>
        <v>#DIV/0!</v>
      </c>
      <c r="E11" s="166">
        <f t="shared" si="0"/>
        <v>34200000</v>
      </c>
      <c r="F11" s="222">
        <f t="shared" si="2"/>
        <v>34200000</v>
      </c>
      <c r="G11" s="166">
        <f t="shared" si="3"/>
        <v>0</v>
      </c>
      <c r="H11" s="218">
        <f t="shared" si="4"/>
        <v>0</v>
      </c>
      <c r="I11" s="166"/>
      <c r="J11" s="163"/>
      <c r="K11" s="163" t="e">
        <f t="shared" si="9"/>
        <v>#DIV/0!</v>
      </c>
      <c r="L11" s="226">
        <f>G11*'&lt;서식5&gt;재원조달계획'!$I$20</f>
        <v>0</v>
      </c>
      <c r="M11" s="226">
        <f>M10*(1+'&lt;서식5&gt;재원조달계획'!$I$19)</f>
        <v>0</v>
      </c>
      <c r="N11" s="226" t="e">
        <f>N10*(1+'&lt;서식5&gt;재원조달계획'!$I$19)</f>
        <v>#DIV/0!</v>
      </c>
      <c r="O11" s="163">
        <f t="shared" si="5"/>
        <v>7524000</v>
      </c>
      <c r="P11" s="233" t="e">
        <f t="shared" si="6"/>
        <v>#DIV/0!</v>
      </c>
      <c r="Q11" s="568"/>
      <c r="R11" s="662">
        <v>0</v>
      </c>
      <c r="S11" s="663">
        <f>('&lt;서식5&gt;재원조달계획'!$F$7-$S$7)/14</f>
        <v>34200000</v>
      </c>
      <c r="T11" s="664">
        <f>('&lt;서식5&gt;재원조달계획'!$F$8-$T$7)/6</f>
        <v>0</v>
      </c>
      <c r="U11" s="664">
        <f>'&lt;서식5&gt;재원조달계획'!$F$9*30%</f>
        <v>0</v>
      </c>
      <c r="V11" s="664">
        <f>('&lt;서식5&gt;재원조달계획'!$F$10-$V$7)/5</f>
        <v>0</v>
      </c>
      <c r="W11" s="667">
        <f>AA10*'&lt;서식5&gt;재원조달계획'!$E$19</f>
        <v>7524000</v>
      </c>
      <c r="X11" s="667">
        <f>AB10*'&lt;서식5&gt;재원조달계획'!$E$20</f>
        <v>0</v>
      </c>
      <c r="Y11" s="667">
        <f>AC10*'&lt;서식5&gt;재원조달계획'!$E$21*8/12</f>
        <v>0</v>
      </c>
      <c r="Z11" s="665">
        <f>AD10*'&lt;서식5&gt;재원조달계획'!$E$22</f>
        <v>0</v>
      </c>
      <c r="AA11" s="665">
        <f t="shared" si="7"/>
        <v>342000000</v>
      </c>
      <c r="AB11" s="665">
        <f t="shared" si="7"/>
        <v>0</v>
      </c>
      <c r="AC11" s="665">
        <f t="shared" si="7"/>
        <v>0</v>
      </c>
      <c r="AD11" s="666">
        <f t="shared" si="7"/>
        <v>0</v>
      </c>
      <c r="AE11" s="661">
        <f t="shared" si="8"/>
        <v>7524000</v>
      </c>
    </row>
    <row r="12" spans="1:31" ht="30" customHeight="1">
      <c r="A12" s="654"/>
      <c r="B12" s="855">
        <v>6</v>
      </c>
      <c r="C12" s="228">
        <f t="shared" si="10"/>
        <v>2024</v>
      </c>
      <c r="D12" s="232" t="e">
        <f t="shared" si="1"/>
        <v>#DIV/0!</v>
      </c>
      <c r="E12" s="166">
        <f t="shared" si="0"/>
        <v>34200000</v>
      </c>
      <c r="F12" s="222">
        <f t="shared" si="2"/>
        <v>34200000</v>
      </c>
      <c r="G12" s="166">
        <f t="shared" si="3"/>
        <v>0</v>
      </c>
      <c r="H12" s="218">
        <f t="shared" si="4"/>
        <v>0</v>
      </c>
      <c r="I12" s="166"/>
      <c r="J12" s="163"/>
      <c r="K12" s="163" t="e">
        <f t="shared" si="9"/>
        <v>#DIV/0!</v>
      </c>
      <c r="L12" s="226">
        <f>G12*'&lt;서식5&gt;재원조달계획'!$I$20</f>
        <v>0</v>
      </c>
      <c r="M12" s="226">
        <f>M11*(1+'&lt;서식5&gt;재원조달계획'!$I$19)</f>
        <v>0</v>
      </c>
      <c r="N12" s="226" t="e">
        <f>N11*(1+'&lt;서식5&gt;재원조달계획'!$I$19)</f>
        <v>#DIV/0!</v>
      </c>
      <c r="O12" s="163">
        <f t="shared" si="5"/>
        <v>6840000</v>
      </c>
      <c r="P12" s="233" t="e">
        <f t="shared" si="6"/>
        <v>#DIV/0!</v>
      </c>
      <c r="Q12" s="568"/>
      <c r="R12" s="662">
        <v>0.02</v>
      </c>
      <c r="S12" s="663">
        <f>('&lt;서식5&gt;재원조달계획'!$F$7-$S$7)/14</f>
        <v>34200000</v>
      </c>
      <c r="T12" s="664">
        <f>('&lt;서식5&gt;재원조달계획'!$F$8-$T$7)/6</f>
        <v>0</v>
      </c>
      <c r="U12" s="664">
        <f>'&lt;서식5&gt;재원조달계획'!$F$9*30%</f>
        <v>0</v>
      </c>
      <c r="V12" s="664">
        <f>('&lt;서식5&gt;재원조달계획'!$F$10-$V$7)/5</f>
        <v>0</v>
      </c>
      <c r="W12" s="667">
        <f>AA11*'&lt;서식5&gt;재원조달계획'!$E$19</f>
        <v>6840000</v>
      </c>
      <c r="X12" s="667">
        <f>AB11*'&lt;서식5&gt;재원조달계획'!$E$20</f>
        <v>0</v>
      </c>
      <c r="Y12" s="667">
        <f>AC11*'&lt;서식5&gt;재원조달계획'!$E$21*8/12</f>
        <v>0</v>
      </c>
      <c r="Z12" s="665">
        <f>AD11*'&lt;서식5&gt;재원조달계획'!$E$22</f>
        <v>0</v>
      </c>
      <c r="AA12" s="665">
        <f t="shared" ref="AA12:AA46" si="11">AA11-S12</f>
        <v>307800000</v>
      </c>
      <c r="AB12" s="665">
        <f t="shared" ref="AB12:AB46" si="12">AB11-T12</f>
        <v>0</v>
      </c>
      <c r="AC12" s="665">
        <f t="shared" ref="AC12:AC46" si="13">AC11-U12</f>
        <v>0</v>
      </c>
      <c r="AD12" s="666">
        <f t="shared" ref="AD12:AD46" si="14">AD11-V12</f>
        <v>0</v>
      </c>
      <c r="AE12" s="661">
        <f t="shared" si="8"/>
        <v>6840000</v>
      </c>
    </row>
    <row r="13" spans="1:31" ht="30" customHeight="1">
      <c r="A13" s="654"/>
      <c r="B13" s="855">
        <v>7</v>
      </c>
      <c r="C13" s="228">
        <f t="shared" si="10"/>
        <v>2025</v>
      </c>
      <c r="D13" s="232" t="e">
        <f t="shared" si="1"/>
        <v>#DIV/0!</v>
      </c>
      <c r="E13" s="166">
        <f t="shared" si="0"/>
        <v>34200000</v>
      </c>
      <c r="F13" s="222">
        <f t="shared" si="2"/>
        <v>34200000</v>
      </c>
      <c r="G13" s="166">
        <f t="shared" si="3"/>
        <v>0</v>
      </c>
      <c r="H13" s="218">
        <f t="shared" si="4"/>
        <v>0</v>
      </c>
      <c r="I13" s="166"/>
      <c r="J13" s="163"/>
      <c r="K13" s="163" t="e">
        <f t="shared" si="9"/>
        <v>#DIV/0!</v>
      </c>
      <c r="L13" s="226">
        <f>G13*'&lt;서식5&gt;재원조달계획'!$I$20</f>
        <v>0</v>
      </c>
      <c r="M13" s="226">
        <f>M12*(1+'&lt;서식5&gt;재원조달계획'!$I$19)</f>
        <v>0</v>
      </c>
      <c r="N13" s="226" t="e">
        <f>N12*(1+'&lt;서식5&gt;재원조달계획'!$I$19)</f>
        <v>#DIV/0!</v>
      </c>
      <c r="O13" s="163">
        <f t="shared" si="5"/>
        <v>6156000</v>
      </c>
      <c r="P13" s="233" t="e">
        <f t="shared" si="6"/>
        <v>#DIV/0!</v>
      </c>
      <c r="Q13" s="568"/>
      <c r="R13" s="662">
        <v>0</v>
      </c>
      <c r="S13" s="663">
        <f>('&lt;서식5&gt;재원조달계획'!$F$7-$S$7)/14</f>
        <v>34200000</v>
      </c>
      <c r="T13" s="664">
        <f>('&lt;서식5&gt;재원조달계획'!$F$8-$T$7)/6</f>
        <v>0</v>
      </c>
      <c r="U13" s="664">
        <f>'&lt;서식5&gt;재원조달계획'!$F$9*30%</f>
        <v>0</v>
      </c>
      <c r="V13" s="664"/>
      <c r="W13" s="667">
        <f>AA12*'&lt;서식5&gt;재원조달계획'!$E$19</f>
        <v>6156000</v>
      </c>
      <c r="X13" s="667">
        <f>AB12*'&lt;서식5&gt;재원조달계획'!$E$20</f>
        <v>0</v>
      </c>
      <c r="Y13" s="667">
        <f>AC12*'&lt;서식5&gt;재원조달계획'!$E$21*8/12</f>
        <v>0</v>
      </c>
      <c r="Z13" s="665">
        <f>AD12*'&lt;서식5&gt;재원조달계획'!$E$22</f>
        <v>0</v>
      </c>
      <c r="AA13" s="665">
        <f t="shared" si="11"/>
        <v>273600000</v>
      </c>
      <c r="AB13" s="665">
        <f t="shared" si="12"/>
        <v>0</v>
      </c>
      <c r="AC13" s="665">
        <f t="shared" si="13"/>
        <v>0</v>
      </c>
      <c r="AD13" s="666">
        <f t="shared" si="14"/>
        <v>0</v>
      </c>
      <c r="AE13" s="661">
        <f t="shared" si="8"/>
        <v>6156000</v>
      </c>
    </row>
    <row r="14" spans="1:31" ht="30" customHeight="1">
      <c r="A14" s="654"/>
      <c r="B14" s="855">
        <v>8</v>
      </c>
      <c r="C14" s="228">
        <f t="shared" si="10"/>
        <v>2026</v>
      </c>
      <c r="D14" s="232" t="e">
        <f t="shared" si="1"/>
        <v>#DIV/0!</v>
      </c>
      <c r="E14" s="166">
        <f t="shared" si="0"/>
        <v>34200000</v>
      </c>
      <c r="F14" s="222">
        <f t="shared" si="2"/>
        <v>34200000</v>
      </c>
      <c r="G14" s="166">
        <f t="shared" si="3"/>
        <v>0</v>
      </c>
      <c r="H14" s="218">
        <f t="shared" si="4"/>
        <v>0</v>
      </c>
      <c r="I14" s="166"/>
      <c r="J14" s="163"/>
      <c r="K14" s="163" t="e">
        <f t="shared" si="9"/>
        <v>#DIV/0!</v>
      </c>
      <c r="L14" s="226">
        <f>G14*'&lt;서식5&gt;재원조달계획'!$I$20</f>
        <v>0</v>
      </c>
      <c r="M14" s="226">
        <f>M13*(1+'&lt;서식5&gt;재원조달계획'!$I$19)</f>
        <v>0</v>
      </c>
      <c r="N14" s="226" t="e">
        <f>N13*(1+'&lt;서식5&gt;재원조달계획'!$I$19)</f>
        <v>#DIV/0!</v>
      </c>
      <c r="O14" s="163">
        <f t="shared" si="5"/>
        <v>5472000</v>
      </c>
      <c r="P14" s="233" t="e">
        <f t="shared" si="6"/>
        <v>#DIV/0!</v>
      </c>
      <c r="Q14" s="568"/>
      <c r="R14" s="662">
        <v>0.02</v>
      </c>
      <c r="S14" s="663">
        <f>('&lt;서식5&gt;재원조달계획'!$F$7-$S$7)/14</f>
        <v>34200000</v>
      </c>
      <c r="T14" s="664"/>
      <c r="U14" s="664">
        <f>'&lt;서식5&gt;재원조달계획'!$F$9*30%</f>
        <v>0</v>
      </c>
      <c r="V14" s="664">
        <f>'&lt;서식5&gt;재원조달계획'!$F$9*30%</f>
        <v>0</v>
      </c>
      <c r="W14" s="667">
        <f>AA13*'&lt;서식5&gt;재원조달계획'!$E$19</f>
        <v>5472000</v>
      </c>
      <c r="X14" s="667">
        <f>AB13*'&lt;서식5&gt;재원조달계획'!$E$20</f>
        <v>0</v>
      </c>
      <c r="Y14" s="667">
        <f>AC13*'&lt;서식5&gt;재원조달계획'!$E$21*8/12</f>
        <v>0</v>
      </c>
      <c r="Z14" s="667">
        <f>AD13*'&lt;서식5&gt;재원조달계획'!$E$22</f>
        <v>0</v>
      </c>
      <c r="AA14" s="665">
        <f t="shared" si="11"/>
        <v>239400000</v>
      </c>
      <c r="AB14" s="665">
        <f t="shared" si="12"/>
        <v>0</v>
      </c>
      <c r="AC14" s="665">
        <f t="shared" si="13"/>
        <v>0</v>
      </c>
      <c r="AD14" s="666">
        <f t="shared" si="14"/>
        <v>0</v>
      </c>
      <c r="AE14" s="661">
        <f t="shared" si="8"/>
        <v>5472000</v>
      </c>
    </row>
    <row r="15" spans="1:31" ht="30" customHeight="1">
      <c r="A15" s="654"/>
      <c r="B15" s="855">
        <v>9</v>
      </c>
      <c r="C15" s="228">
        <f t="shared" si="10"/>
        <v>2027</v>
      </c>
      <c r="D15" s="232" t="e">
        <f t="shared" si="1"/>
        <v>#DIV/0!</v>
      </c>
      <c r="E15" s="166">
        <f t="shared" si="0"/>
        <v>34200000</v>
      </c>
      <c r="F15" s="222">
        <f t="shared" si="2"/>
        <v>34200000</v>
      </c>
      <c r="G15" s="166">
        <f t="shared" si="3"/>
        <v>0</v>
      </c>
      <c r="H15" s="218">
        <f t="shared" si="4"/>
        <v>0</v>
      </c>
      <c r="I15" s="166"/>
      <c r="J15" s="163"/>
      <c r="K15" s="163" t="e">
        <f t="shared" si="9"/>
        <v>#DIV/0!</v>
      </c>
      <c r="L15" s="226">
        <f>G15*'&lt;서식5&gt;재원조달계획'!$I$20</f>
        <v>0</v>
      </c>
      <c r="M15" s="226">
        <f>M14*(1+'&lt;서식5&gt;재원조달계획'!$I$19)</f>
        <v>0</v>
      </c>
      <c r="N15" s="226" t="e">
        <f>N14*(1+'&lt;서식5&gt;재원조달계획'!$I$19)</f>
        <v>#DIV/0!</v>
      </c>
      <c r="O15" s="163">
        <f t="shared" si="5"/>
        <v>4788000</v>
      </c>
      <c r="P15" s="233" t="e">
        <f t="shared" si="6"/>
        <v>#DIV/0!</v>
      </c>
      <c r="Q15" s="568"/>
      <c r="R15" s="662">
        <v>0</v>
      </c>
      <c r="S15" s="663">
        <f>('&lt;서식5&gt;재원조달계획'!$F$7-$S$7)/14</f>
        <v>34200000</v>
      </c>
      <c r="T15" s="664"/>
      <c r="U15" s="664">
        <f>'&lt;서식5&gt;재원조달계획'!$F$9*30%</f>
        <v>0</v>
      </c>
      <c r="V15" s="664">
        <f>'&lt;서식5&gt;재원조달계획'!$F$9*30%</f>
        <v>0</v>
      </c>
      <c r="W15" s="667">
        <f>AA14*'&lt;서식5&gt;재원조달계획'!$E$19</f>
        <v>4788000</v>
      </c>
      <c r="X15" s="665">
        <f>AB14*'&lt;서식5&gt;재원조달계획'!$E$20</f>
        <v>0</v>
      </c>
      <c r="Y15" s="667">
        <f>AC14*'&lt;서식5&gt;재원조달계획'!$E$21*8/12</f>
        <v>0</v>
      </c>
      <c r="Z15" s="667">
        <f>AD14*'&lt;서식5&gt;재원조달계획'!$E$22</f>
        <v>0</v>
      </c>
      <c r="AA15" s="665">
        <f t="shared" si="11"/>
        <v>205200000</v>
      </c>
      <c r="AB15" s="665">
        <f t="shared" si="12"/>
        <v>0</v>
      </c>
      <c r="AC15" s="665">
        <f t="shared" si="13"/>
        <v>0</v>
      </c>
      <c r="AD15" s="666">
        <f t="shared" si="14"/>
        <v>0</v>
      </c>
      <c r="AE15" s="661">
        <f t="shared" si="8"/>
        <v>4788000</v>
      </c>
    </row>
    <row r="16" spans="1:31" ht="30" customHeight="1">
      <c r="A16" s="654"/>
      <c r="B16" s="855">
        <v>10</v>
      </c>
      <c r="C16" s="228">
        <f t="shared" si="10"/>
        <v>2028</v>
      </c>
      <c r="D16" s="232" t="e">
        <f t="shared" si="1"/>
        <v>#DIV/0!</v>
      </c>
      <c r="E16" s="166">
        <f t="shared" si="0"/>
        <v>34200000</v>
      </c>
      <c r="F16" s="222">
        <f t="shared" si="2"/>
        <v>34200000</v>
      </c>
      <c r="G16" s="166">
        <f t="shared" si="3"/>
        <v>0</v>
      </c>
      <c r="H16" s="218">
        <f t="shared" si="4"/>
        <v>0</v>
      </c>
      <c r="I16" s="166"/>
      <c r="J16" s="163"/>
      <c r="K16" s="163" t="e">
        <f t="shared" si="9"/>
        <v>#DIV/0!</v>
      </c>
      <c r="L16" s="226">
        <f>G16*'&lt;서식5&gt;재원조달계획'!$I$20</f>
        <v>0</v>
      </c>
      <c r="M16" s="226">
        <f>M15*(1+'&lt;서식5&gt;재원조달계획'!$I$19)</f>
        <v>0</v>
      </c>
      <c r="N16" s="226" t="e">
        <f>N15*(1+'&lt;서식5&gt;재원조달계획'!$I$19)</f>
        <v>#DIV/0!</v>
      </c>
      <c r="O16" s="163">
        <f t="shared" si="5"/>
        <v>4104000</v>
      </c>
      <c r="P16" s="233" t="e">
        <f t="shared" si="6"/>
        <v>#DIV/0!</v>
      </c>
      <c r="Q16" s="568"/>
      <c r="R16" s="662">
        <v>0.02</v>
      </c>
      <c r="S16" s="663">
        <f>('&lt;서식5&gt;재원조달계획'!$F$7-$S$7)/14</f>
        <v>34200000</v>
      </c>
      <c r="T16" s="664"/>
      <c r="U16" s="664">
        <f>'&lt;서식5&gt;재원조달계획'!$F$9*30%</f>
        <v>0</v>
      </c>
      <c r="V16" s="664">
        <f>'&lt;서식5&gt;재원조달계획'!$F$9*30%</f>
        <v>0</v>
      </c>
      <c r="W16" s="667">
        <f>AA15*'&lt;서식5&gt;재원조달계획'!$E$19</f>
        <v>4104000</v>
      </c>
      <c r="X16" s="665">
        <f>AB15*'&lt;서식5&gt;재원조달계획'!$E$20</f>
        <v>0</v>
      </c>
      <c r="Y16" s="667">
        <f>AC15*'&lt;서식5&gt;재원조달계획'!$E$21*8/12</f>
        <v>0</v>
      </c>
      <c r="Z16" s="667">
        <f>AD15*'&lt;서식5&gt;재원조달계획'!$E$22</f>
        <v>0</v>
      </c>
      <c r="AA16" s="665">
        <f t="shared" si="11"/>
        <v>171000000</v>
      </c>
      <c r="AB16" s="665">
        <f t="shared" si="12"/>
        <v>0</v>
      </c>
      <c r="AC16" s="665">
        <f t="shared" si="13"/>
        <v>0</v>
      </c>
      <c r="AD16" s="666">
        <f t="shared" si="14"/>
        <v>0</v>
      </c>
      <c r="AE16" s="661">
        <f t="shared" si="8"/>
        <v>4104000</v>
      </c>
    </row>
    <row r="17" spans="1:31" ht="30" customHeight="1">
      <c r="A17" s="654"/>
      <c r="B17" s="855">
        <v>11</v>
      </c>
      <c r="C17" s="228">
        <f t="shared" si="10"/>
        <v>2029</v>
      </c>
      <c r="D17" s="232" t="e">
        <f t="shared" si="1"/>
        <v>#DIV/0!</v>
      </c>
      <c r="E17" s="166">
        <f t="shared" si="0"/>
        <v>34200000</v>
      </c>
      <c r="F17" s="222">
        <f t="shared" si="2"/>
        <v>34200000</v>
      </c>
      <c r="G17" s="166">
        <f t="shared" si="3"/>
        <v>0</v>
      </c>
      <c r="H17" s="218">
        <f t="shared" si="4"/>
        <v>0</v>
      </c>
      <c r="I17" s="166"/>
      <c r="J17" s="163"/>
      <c r="K17" s="163" t="e">
        <f t="shared" si="9"/>
        <v>#DIV/0!</v>
      </c>
      <c r="L17" s="226">
        <f>G17*'&lt;서식5&gt;재원조달계획'!$I$20</f>
        <v>0</v>
      </c>
      <c r="M17" s="226">
        <f>M16*(1+'&lt;서식5&gt;재원조달계획'!$I$19)</f>
        <v>0</v>
      </c>
      <c r="N17" s="226" t="e">
        <f>N16*(1+'&lt;서식5&gt;재원조달계획'!$I$19)</f>
        <v>#DIV/0!</v>
      </c>
      <c r="O17" s="163">
        <f t="shared" si="5"/>
        <v>3420000</v>
      </c>
      <c r="P17" s="233" t="e">
        <f t="shared" si="6"/>
        <v>#DIV/0!</v>
      </c>
      <c r="Q17" s="568"/>
      <c r="R17" s="662">
        <v>0</v>
      </c>
      <c r="S17" s="663">
        <f>('&lt;서식5&gt;재원조달계획'!$F$7-$S$7)/14</f>
        <v>34200000</v>
      </c>
      <c r="T17" s="664"/>
      <c r="U17" s="664">
        <f>'&lt;서식5&gt;재원조달계획'!$F$9*30%</f>
        <v>0</v>
      </c>
      <c r="V17" s="664">
        <f>'&lt;서식5&gt;재원조달계획'!$F$9*30%</f>
        <v>0</v>
      </c>
      <c r="W17" s="667">
        <f>AA16*'&lt;서식5&gt;재원조달계획'!$E$19</f>
        <v>3420000</v>
      </c>
      <c r="X17" s="665">
        <f>AB16*'&lt;서식5&gt;재원조달계획'!$E$20</f>
        <v>0</v>
      </c>
      <c r="Y17" s="667">
        <f>AC16*'&lt;서식5&gt;재원조달계획'!$E$21*8/12</f>
        <v>0</v>
      </c>
      <c r="Z17" s="667">
        <f>AD16*'&lt;서식5&gt;재원조달계획'!$E$22</f>
        <v>0</v>
      </c>
      <c r="AA17" s="665">
        <f t="shared" si="11"/>
        <v>136800000</v>
      </c>
      <c r="AB17" s="665">
        <f t="shared" si="12"/>
        <v>0</v>
      </c>
      <c r="AC17" s="665">
        <f t="shared" si="13"/>
        <v>0</v>
      </c>
      <c r="AD17" s="666">
        <f t="shared" si="14"/>
        <v>0</v>
      </c>
      <c r="AE17" s="661">
        <f t="shared" si="8"/>
        <v>3420000</v>
      </c>
    </row>
    <row r="18" spans="1:31" ht="30" customHeight="1">
      <c r="A18" s="654"/>
      <c r="B18" s="855">
        <v>12</v>
      </c>
      <c r="C18" s="228">
        <f t="shared" si="10"/>
        <v>2030</v>
      </c>
      <c r="D18" s="232" t="e">
        <f t="shared" si="1"/>
        <v>#DIV/0!</v>
      </c>
      <c r="E18" s="166">
        <f t="shared" si="0"/>
        <v>34200000</v>
      </c>
      <c r="F18" s="222">
        <f t="shared" si="2"/>
        <v>34200000</v>
      </c>
      <c r="G18" s="166">
        <f t="shared" si="3"/>
        <v>0</v>
      </c>
      <c r="H18" s="218">
        <f t="shared" si="4"/>
        <v>0</v>
      </c>
      <c r="I18" s="166"/>
      <c r="J18" s="163"/>
      <c r="K18" s="163" t="e">
        <f t="shared" si="9"/>
        <v>#DIV/0!</v>
      </c>
      <c r="L18" s="226">
        <f>G18*'&lt;서식5&gt;재원조달계획'!$I$20</f>
        <v>0</v>
      </c>
      <c r="M18" s="226">
        <f>M17*(1+'&lt;서식5&gt;재원조달계획'!$I$19)</f>
        <v>0</v>
      </c>
      <c r="N18" s="226" t="e">
        <f>N17*(1+'&lt;서식5&gt;재원조달계획'!$I$19)</f>
        <v>#DIV/0!</v>
      </c>
      <c r="O18" s="163">
        <f t="shared" si="5"/>
        <v>2736000</v>
      </c>
      <c r="P18" s="233" t="e">
        <f t="shared" si="6"/>
        <v>#DIV/0!</v>
      </c>
      <c r="Q18" s="568"/>
      <c r="R18" s="662">
        <v>0.02</v>
      </c>
      <c r="S18" s="663">
        <f>('&lt;서식5&gt;재원조달계획'!$F$7-$S$7)/14</f>
        <v>34200000</v>
      </c>
      <c r="T18" s="664"/>
      <c r="U18" s="664">
        <f>'&lt;서식5&gt;재원조달계획'!$F$9*30%</f>
        <v>0</v>
      </c>
      <c r="V18" s="664">
        <f>'&lt;서식5&gt;재원조달계획'!$F$9*30%</f>
        <v>0</v>
      </c>
      <c r="W18" s="667">
        <f>AA17*'&lt;서식5&gt;재원조달계획'!$E$19</f>
        <v>2736000</v>
      </c>
      <c r="X18" s="665">
        <f>AB17*'&lt;서식5&gt;재원조달계획'!$E$20</f>
        <v>0</v>
      </c>
      <c r="Y18" s="667">
        <f>AC17*'&lt;서식5&gt;재원조달계획'!$E$21*8/12</f>
        <v>0</v>
      </c>
      <c r="Z18" s="667">
        <f>AD17*'&lt;서식5&gt;재원조달계획'!$E$22</f>
        <v>0</v>
      </c>
      <c r="AA18" s="665">
        <f t="shared" si="11"/>
        <v>102600000</v>
      </c>
      <c r="AB18" s="665">
        <f t="shared" si="12"/>
        <v>0</v>
      </c>
      <c r="AC18" s="665">
        <f t="shared" si="13"/>
        <v>0</v>
      </c>
      <c r="AD18" s="666">
        <f t="shared" si="14"/>
        <v>0</v>
      </c>
      <c r="AE18" s="661">
        <f t="shared" si="8"/>
        <v>2736000</v>
      </c>
    </row>
    <row r="19" spans="1:31" ht="30" customHeight="1">
      <c r="A19" s="654"/>
      <c r="B19" s="855">
        <v>13</v>
      </c>
      <c r="C19" s="228">
        <f t="shared" si="10"/>
        <v>2031</v>
      </c>
      <c r="D19" s="232" t="e">
        <f t="shared" si="1"/>
        <v>#DIV/0!</v>
      </c>
      <c r="E19" s="166">
        <f t="shared" si="0"/>
        <v>34200000</v>
      </c>
      <c r="F19" s="222">
        <f t="shared" si="2"/>
        <v>34200000</v>
      </c>
      <c r="G19" s="166">
        <f t="shared" si="3"/>
        <v>0</v>
      </c>
      <c r="H19" s="218">
        <f t="shared" si="4"/>
        <v>0</v>
      </c>
      <c r="I19" s="166"/>
      <c r="J19" s="163"/>
      <c r="K19" s="163" t="e">
        <f t="shared" si="9"/>
        <v>#DIV/0!</v>
      </c>
      <c r="L19" s="226">
        <f>G19*'&lt;서식5&gt;재원조달계획'!$I$20</f>
        <v>0</v>
      </c>
      <c r="M19" s="226">
        <f>M18*(1+'&lt;서식5&gt;재원조달계획'!$I$19)</f>
        <v>0</v>
      </c>
      <c r="N19" s="226" t="e">
        <f>N18*(1+'&lt;서식5&gt;재원조달계획'!$I$19)</f>
        <v>#DIV/0!</v>
      </c>
      <c r="O19" s="163">
        <f t="shared" si="5"/>
        <v>2052000</v>
      </c>
      <c r="P19" s="233" t="e">
        <f t="shared" si="6"/>
        <v>#DIV/0!</v>
      </c>
      <c r="Q19" s="568"/>
      <c r="R19" s="662">
        <v>0</v>
      </c>
      <c r="S19" s="663">
        <f>('&lt;서식5&gt;재원조달계획'!$F$7-$S$7)/14</f>
        <v>34200000</v>
      </c>
      <c r="T19" s="664"/>
      <c r="U19" s="664">
        <f>'&lt;서식5&gt;재원조달계획'!$F$9*30%</f>
        <v>0</v>
      </c>
      <c r="V19" s="664">
        <f>'&lt;서식5&gt;재원조달계획'!$F$9*30%</f>
        <v>0</v>
      </c>
      <c r="W19" s="667">
        <f>AA18*'&lt;서식5&gt;재원조달계획'!$E$19</f>
        <v>2052000</v>
      </c>
      <c r="X19" s="665">
        <f>AB18*'&lt;서식5&gt;재원조달계획'!$E$20</f>
        <v>0</v>
      </c>
      <c r="Y19" s="667">
        <f>AC18*'&lt;서식5&gt;재원조달계획'!$E$21*8/12</f>
        <v>0</v>
      </c>
      <c r="Z19" s="667">
        <f>AD18*'&lt;서식5&gt;재원조달계획'!$E$22</f>
        <v>0</v>
      </c>
      <c r="AA19" s="665">
        <f t="shared" si="11"/>
        <v>68400000</v>
      </c>
      <c r="AB19" s="665">
        <f t="shared" si="12"/>
        <v>0</v>
      </c>
      <c r="AC19" s="665">
        <f t="shared" si="13"/>
        <v>0</v>
      </c>
      <c r="AD19" s="666">
        <f t="shared" si="14"/>
        <v>0</v>
      </c>
      <c r="AE19" s="661">
        <f t="shared" si="8"/>
        <v>2052000</v>
      </c>
    </row>
    <row r="20" spans="1:31" ht="30" customHeight="1">
      <c r="A20" s="654"/>
      <c r="B20" s="855">
        <v>14</v>
      </c>
      <c r="C20" s="228">
        <f t="shared" si="10"/>
        <v>2032</v>
      </c>
      <c r="D20" s="232" t="e">
        <f t="shared" si="1"/>
        <v>#DIV/0!</v>
      </c>
      <c r="E20" s="166">
        <f t="shared" si="0"/>
        <v>34200000</v>
      </c>
      <c r="F20" s="222">
        <f t="shared" si="2"/>
        <v>34200000</v>
      </c>
      <c r="G20" s="166">
        <f t="shared" si="3"/>
        <v>0</v>
      </c>
      <c r="H20" s="218">
        <f t="shared" si="4"/>
        <v>0</v>
      </c>
      <c r="I20" s="166"/>
      <c r="J20" s="163"/>
      <c r="K20" s="163" t="e">
        <f t="shared" si="9"/>
        <v>#DIV/0!</v>
      </c>
      <c r="L20" s="226">
        <f>G20*'&lt;서식5&gt;재원조달계획'!$I$20</f>
        <v>0</v>
      </c>
      <c r="M20" s="226">
        <f>M19*(1+'&lt;서식5&gt;재원조달계획'!$I$19)</f>
        <v>0</v>
      </c>
      <c r="N20" s="226" t="e">
        <f>N19*(1+'&lt;서식5&gt;재원조달계획'!$I$19)</f>
        <v>#DIV/0!</v>
      </c>
      <c r="O20" s="163">
        <f t="shared" si="5"/>
        <v>1368000</v>
      </c>
      <c r="P20" s="233" t="e">
        <f t="shared" si="6"/>
        <v>#DIV/0!</v>
      </c>
      <c r="Q20" s="568"/>
      <c r="R20" s="662">
        <v>0.02</v>
      </c>
      <c r="S20" s="663">
        <f>('&lt;서식5&gt;재원조달계획'!$F$7-$S$7)/14</f>
        <v>34200000</v>
      </c>
      <c r="T20" s="664"/>
      <c r="U20" s="664">
        <f>'&lt;서식5&gt;재원조달계획'!$F$9*30%</f>
        <v>0</v>
      </c>
      <c r="V20" s="664">
        <f>'&lt;서식5&gt;재원조달계획'!$F$9*30%</f>
        <v>0</v>
      </c>
      <c r="W20" s="667">
        <f>AA19*'&lt;서식5&gt;재원조달계획'!$E$19</f>
        <v>1368000</v>
      </c>
      <c r="X20" s="665">
        <f>AB19*'&lt;서식5&gt;재원조달계획'!$E$20</f>
        <v>0</v>
      </c>
      <c r="Y20" s="667">
        <f>AC19*'&lt;서식5&gt;재원조달계획'!$E$21*8/12</f>
        <v>0</v>
      </c>
      <c r="Z20" s="667">
        <f>AD19*'&lt;서식5&gt;재원조달계획'!$E$22</f>
        <v>0</v>
      </c>
      <c r="AA20" s="665">
        <f t="shared" si="11"/>
        <v>34200000</v>
      </c>
      <c r="AB20" s="665">
        <f t="shared" si="12"/>
        <v>0</v>
      </c>
      <c r="AC20" s="665">
        <f t="shared" si="13"/>
        <v>0</v>
      </c>
      <c r="AD20" s="666">
        <f t="shared" si="14"/>
        <v>0</v>
      </c>
      <c r="AE20" s="661">
        <f t="shared" si="8"/>
        <v>1368000</v>
      </c>
    </row>
    <row r="21" spans="1:31" ht="30" customHeight="1">
      <c r="A21" s="654"/>
      <c r="B21" s="855">
        <v>15</v>
      </c>
      <c r="C21" s="228">
        <f t="shared" si="10"/>
        <v>2033</v>
      </c>
      <c r="D21" s="232" t="e">
        <f t="shared" si="1"/>
        <v>#DIV/0!</v>
      </c>
      <c r="E21" s="166">
        <f t="shared" si="0"/>
        <v>34200000</v>
      </c>
      <c r="F21" s="222">
        <f t="shared" si="2"/>
        <v>34200000</v>
      </c>
      <c r="G21" s="166">
        <f t="shared" si="3"/>
        <v>0</v>
      </c>
      <c r="H21" s="218">
        <f t="shared" si="4"/>
        <v>0</v>
      </c>
      <c r="I21" s="166"/>
      <c r="J21" s="163"/>
      <c r="K21" s="163" t="e">
        <f t="shared" si="9"/>
        <v>#DIV/0!</v>
      </c>
      <c r="L21" s="226">
        <f>G21*'&lt;서식5&gt;재원조달계획'!$I$20</f>
        <v>0</v>
      </c>
      <c r="M21" s="226">
        <f>M20*(1+'&lt;서식5&gt;재원조달계획'!$I$19)</f>
        <v>0</v>
      </c>
      <c r="N21" s="226" t="e">
        <f>N20*(1+'&lt;서식5&gt;재원조달계획'!$I$19)</f>
        <v>#DIV/0!</v>
      </c>
      <c r="O21" s="163">
        <f t="shared" si="5"/>
        <v>684000</v>
      </c>
      <c r="P21" s="233" t="e">
        <f t="shared" si="6"/>
        <v>#DIV/0!</v>
      </c>
      <c r="Q21" s="568"/>
      <c r="R21" s="662">
        <v>0</v>
      </c>
      <c r="S21" s="663">
        <f>('&lt;서식5&gt;재원조달계획'!$F$7-$S$7)/14</f>
        <v>34200000</v>
      </c>
      <c r="T21" s="664"/>
      <c r="U21" s="664">
        <f>'&lt;서식5&gt;재원조달계획'!$F$9*30%</f>
        <v>0</v>
      </c>
      <c r="V21" s="664">
        <f>'&lt;서식5&gt;재원조달계획'!$F$9*30%</f>
        <v>0</v>
      </c>
      <c r="W21" s="667">
        <f>AA20*'&lt;서식5&gt;재원조달계획'!$E$19</f>
        <v>684000</v>
      </c>
      <c r="X21" s="665">
        <f>AB20*'&lt;서식5&gt;재원조달계획'!$E$20</f>
        <v>0</v>
      </c>
      <c r="Y21" s="667">
        <f>AC20*'&lt;서식5&gt;재원조달계획'!$E$21*8/12</f>
        <v>0</v>
      </c>
      <c r="Z21" s="667">
        <f>AD20*'&lt;서식5&gt;재원조달계획'!$E$22</f>
        <v>0</v>
      </c>
      <c r="AA21" s="665">
        <f t="shared" si="11"/>
        <v>0</v>
      </c>
      <c r="AB21" s="665">
        <f t="shared" si="12"/>
        <v>0</v>
      </c>
      <c r="AC21" s="665">
        <f t="shared" si="13"/>
        <v>0</v>
      </c>
      <c r="AD21" s="666">
        <f t="shared" si="14"/>
        <v>0</v>
      </c>
      <c r="AE21" s="661">
        <f t="shared" si="8"/>
        <v>684000</v>
      </c>
    </row>
    <row r="22" spans="1:31" ht="30" customHeight="1">
      <c r="A22" s="654"/>
      <c r="B22" s="855">
        <v>16</v>
      </c>
      <c r="C22" s="228">
        <f t="shared" si="10"/>
        <v>2034</v>
      </c>
      <c r="D22" s="232" t="e">
        <f t="shared" si="1"/>
        <v>#DIV/0!</v>
      </c>
      <c r="E22" s="166">
        <f t="shared" si="0"/>
        <v>0</v>
      </c>
      <c r="F22" s="222">
        <f t="shared" si="2"/>
        <v>0</v>
      </c>
      <c r="G22" s="166">
        <f t="shared" si="3"/>
        <v>0</v>
      </c>
      <c r="H22" s="218">
        <f t="shared" si="4"/>
        <v>0</v>
      </c>
      <c r="I22" s="166"/>
      <c r="J22" s="163"/>
      <c r="K22" s="163" t="e">
        <f t="shared" si="9"/>
        <v>#DIV/0!</v>
      </c>
      <c r="L22" s="226">
        <f>G22*'&lt;서식5&gt;재원조달계획'!$I$20</f>
        <v>0</v>
      </c>
      <c r="M22" s="226">
        <f>M21*(1+'&lt;서식5&gt;재원조달계획'!$I$19)</f>
        <v>0</v>
      </c>
      <c r="N22" s="226" t="e">
        <f>N21*(1+'&lt;서식5&gt;재원조달계획'!$I$19)</f>
        <v>#DIV/0!</v>
      </c>
      <c r="O22" s="163">
        <f t="shared" si="5"/>
        <v>0</v>
      </c>
      <c r="P22" s="233" t="e">
        <f t="shared" si="6"/>
        <v>#DIV/0!</v>
      </c>
      <c r="Q22" s="568"/>
      <c r="R22" s="662">
        <v>0.02</v>
      </c>
      <c r="S22" s="663"/>
      <c r="T22" s="664"/>
      <c r="U22" s="664">
        <f>'&lt;서식5&gt;재원조달계획'!$F$9*30%</f>
        <v>0</v>
      </c>
      <c r="V22" s="664">
        <f>'&lt;서식5&gt;재원조달계획'!$F$9*30%</f>
        <v>0</v>
      </c>
      <c r="W22" s="667">
        <f>AA21*'&lt;서식5&gt;재원조달계획'!$E$19</f>
        <v>0</v>
      </c>
      <c r="X22" s="667">
        <f>AB21*'&lt;서식5&gt;재원조달계획'!$E$20</f>
        <v>0</v>
      </c>
      <c r="Y22" s="667">
        <f>AC21*'&lt;서식5&gt;재원조달계획'!$E$21*8/12</f>
        <v>0</v>
      </c>
      <c r="Z22" s="667">
        <f>AD21*'&lt;서식5&gt;재원조달계획'!$E$22</f>
        <v>0</v>
      </c>
      <c r="AA22" s="665">
        <f t="shared" si="11"/>
        <v>0</v>
      </c>
      <c r="AB22" s="665">
        <f t="shared" si="12"/>
        <v>0</v>
      </c>
      <c r="AC22" s="665">
        <f t="shared" si="13"/>
        <v>0</v>
      </c>
      <c r="AD22" s="666">
        <f t="shared" si="14"/>
        <v>0</v>
      </c>
      <c r="AE22" s="661">
        <f t="shared" si="8"/>
        <v>0</v>
      </c>
    </row>
    <row r="23" spans="1:31" ht="30" customHeight="1">
      <c r="A23" s="654"/>
      <c r="B23" s="855">
        <v>17</v>
      </c>
      <c r="C23" s="228">
        <f t="shared" si="10"/>
        <v>2035</v>
      </c>
      <c r="D23" s="232" t="e">
        <f t="shared" si="1"/>
        <v>#DIV/0!</v>
      </c>
      <c r="E23" s="166">
        <f t="shared" si="0"/>
        <v>0</v>
      </c>
      <c r="F23" s="222">
        <f t="shared" si="2"/>
        <v>0</v>
      </c>
      <c r="G23" s="166">
        <f t="shared" si="3"/>
        <v>0</v>
      </c>
      <c r="H23" s="218">
        <f t="shared" si="4"/>
        <v>0</v>
      </c>
      <c r="I23" s="166"/>
      <c r="J23" s="163"/>
      <c r="K23" s="163" t="e">
        <f t="shared" si="9"/>
        <v>#DIV/0!</v>
      </c>
      <c r="L23" s="226">
        <f>G23*'&lt;서식5&gt;재원조달계획'!$I$20</f>
        <v>0</v>
      </c>
      <c r="M23" s="226">
        <f>M22*(1+'&lt;서식5&gt;재원조달계획'!$I$19)</f>
        <v>0</v>
      </c>
      <c r="N23" s="226" t="e">
        <f>N22*(1+'&lt;서식5&gt;재원조달계획'!$I$19)</f>
        <v>#DIV/0!</v>
      </c>
      <c r="O23" s="163">
        <f t="shared" si="5"/>
        <v>0</v>
      </c>
      <c r="P23" s="233" t="e">
        <f t="shared" si="6"/>
        <v>#DIV/0!</v>
      </c>
      <c r="Q23" s="568"/>
      <c r="R23" s="662">
        <v>0</v>
      </c>
      <c r="S23" s="663"/>
      <c r="T23" s="664"/>
      <c r="U23" s="664"/>
      <c r="V23" s="664"/>
      <c r="W23" s="665">
        <f>AA22*'&lt;서식5&gt;재원조달계획'!$E$19</f>
        <v>0</v>
      </c>
      <c r="X23" s="667">
        <f>AB22*'&lt;서식5&gt;재원조달계획'!$E$20</f>
        <v>0</v>
      </c>
      <c r="Y23" s="667">
        <f>AC22*'&lt;서식5&gt;재원조달계획'!$E$21*8/12</f>
        <v>0</v>
      </c>
      <c r="Z23" s="667">
        <f>AD22*'&lt;서식5&gt;재원조달계획'!$E$22</f>
        <v>0</v>
      </c>
      <c r="AA23" s="665">
        <f t="shared" si="11"/>
        <v>0</v>
      </c>
      <c r="AB23" s="665">
        <f t="shared" si="12"/>
        <v>0</v>
      </c>
      <c r="AC23" s="665">
        <f t="shared" si="13"/>
        <v>0</v>
      </c>
      <c r="AD23" s="666">
        <f t="shared" si="14"/>
        <v>0</v>
      </c>
    </row>
    <row r="24" spans="1:31" ht="30" customHeight="1">
      <c r="A24" s="654"/>
      <c r="B24" s="855">
        <v>18</v>
      </c>
      <c r="C24" s="228">
        <f t="shared" si="10"/>
        <v>2036</v>
      </c>
      <c r="D24" s="232" t="e">
        <f t="shared" si="1"/>
        <v>#DIV/0!</v>
      </c>
      <c r="E24" s="166">
        <f t="shared" si="0"/>
        <v>0</v>
      </c>
      <c r="F24" s="222">
        <f t="shared" si="2"/>
        <v>0</v>
      </c>
      <c r="G24" s="166">
        <f t="shared" si="3"/>
        <v>0</v>
      </c>
      <c r="H24" s="218">
        <f t="shared" si="4"/>
        <v>0</v>
      </c>
      <c r="I24" s="166"/>
      <c r="J24" s="163"/>
      <c r="K24" s="163" t="e">
        <f t="shared" si="9"/>
        <v>#DIV/0!</v>
      </c>
      <c r="L24" s="226">
        <f>G24*'&lt;서식5&gt;재원조달계획'!$I$20</f>
        <v>0</v>
      </c>
      <c r="M24" s="226">
        <f>M23*(1+'&lt;서식5&gt;재원조달계획'!$I$19)</f>
        <v>0</v>
      </c>
      <c r="N24" s="226" t="e">
        <f>N23*(1+'&lt;서식5&gt;재원조달계획'!$I$19)</f>
        <v>#DIV/0!</v>
      </c>
      <c r="O24" s="226">
        <f t="shared" si="5"/>
        <v>0</v>
      </c>
      <c r="P24" s="233" t="e">
        <f t="shared" si="6"/>
        <v>#DIV/0!</v>
      </c>
      <c r="Q24" s="568"/>
      <c r="R24" s="662">
        <v>0.02</v>
      </c>
      <c r="S24" s="663"/>
      <c r="T24" s="664"/>
      <c r="U24" s="664"/>
      <c r="V24" s="664"/>
      <c r="W24" s="665">
        <f>AA23*'&lt;서식5&gt;재원조달계획'!$E$19</f>
        <v>0</v>
      </c>
      <c r="X24" s="667">
        <f>AB23*'&lt;서식5&gt;재원조달계획'!$E$20</f>
        <v>0</v>
      </c>
      <c r="Y24" s="667">
        <f>AC23*'&lt;서식5&gt;재원조달계획'!$E$21*8/12</f>
        <v>0</v>
      </c>
      <c r="Z24" s="667">
        <f>AD23*'&lt;서식5&gt;재원조달계획'!$E$22</f>
        <v>0</v>
      </c>
      <c r="AA24" s="665">
        <f t="shared" si="11"/>
        <v>0</v>
      </c>
      <c r="AB24" s="665">
        <f t="shared" si="12"/>
        <v>0</v>
      </c>
      <c r="AC24" s="665">
        <f t="shared" si="13"/>
        <v>0</v>
      </c>
      <c r="AD24" s="666">
        <f t="shared" si="14"/>
        <v>0</v>
      </c>
    </row>
    <row r="25" spans="1:31" ht="30" customHeight="1">
      <c r="A25" s="654"/>
      <c r="B25" s="855">
        <v>19</v>
      </c>
      <c r="C25" s="228">
        <f t="shared" si="10"/>
        <v>2037</v>
      </c>
      <c r="D25" s="232" t="e">
        <f t="shared" si="1"/>
        <v>#DIV/0!</v>
      </c>
      <c r="E25" s="166">
        <f t="shared" si="0"/>
        <v>0</v>
      </c>
      <c r="F25" s="222">
        <f t="shared" si="2"/>
        <v>0</v>
      </c>
      <c r="G25" s="166">
        <f t="shared" si="3"/>
        <v>0</v>
      </c>
      <c r="H25" s="218">
        <f t="shared" si="4"/>
        <v>0</v>
      </c>
      <c r="I25" s="166"/>
      <c r="J25" s="163"/>
      <c r="K25" s="163" t="e">
        <f t="shared" si="9"/>
        <v>#DIV/0!</v>
      </c>
      <c r="L25" s="226">
        <f>G25*'&lt;서식5&gt;재원조달계획'!$I$20</f>
        <v>0</v>
      </c>
      <c r="M25" s="226">
        <f>M24*(1+'&lt;서식5&gt;재원조달계획'!$I$19)</f>
        <v>0</v>
      </c>
      <c r="N25" s="226" t="e">
        <f>N24*(1+'&lt;서식5&gt;재원조달계획'!$I$19)</f>
        <v>#DIV/0!</v>
      </c>
      <c r="O25" s="226">
        <f t="shared" si="5"/>
        <v>0</v>
      </c>
      <c r="P25" s="233" t="e">
        <f t="shared" si="6"/>
        <v>#DIV/0!</v>
      </c>
      <c r="Q25" s="568"/>
      <c r="R25" s="662">
        <v>0</v>
      </c>
      <c r="S25" s="663"/>
      <c r="T25" s="664"/>
      <c r="U25" s="664"/>
      <c r="V25" s="664"/>
      <c r="W25" s="665">
        <f>AA24*'&lt;서식5&gt;재원조달계획'!$E$19</f>
        <v>0</v>
      </c>
      <c r="X25" s="667">
        <f>AB24*'&lt;서식5&gt;재원조달계획'!$E$20</f>
        <v>0</v>
      </c>
      <c r="Y25" s="667">
        <f>AC24*'&lt;서식5&gt;재원조달계획'!$E$21*8/12</f>
        <v>0</v>
      </c>
      <c r="Z25" s="667">
        <f>AD24*'&lt;서식5&gt;재원조달계획'!$E$22</f>
        <v>0</v>
      </c>
      <c r="AA25" s="665">
        <f t="shared" si="11"/>
        <v>0</v>
      </c>
      <c r="AB25" s="665">
        <f t="shared" si="12"/>
        <v>0</v>
      </c>
      <c r="AC25" s="665">
        <f t="shared" si="13"/>
        <v>0</v>
      </c>
      <c r="AD25" s="666">
        <f t="shared" si="14"/>
        <v>0</v>
      </c>
    </row>
    <row r="26" spans="1:31" ht="30" customHeight="1">
      <c r="A26" s="654"/>
      <c r="B26" s="855">
        <v>20</v>
      </c>
      <c r="C26" s="228">
        <f t="shared" si="10"/>
        <v>2038</v>
      </c>
      <c r="D26" s="232" t="e">
        <f t="shared" si="1"/>
        <v>#DIV/0!</v>
      </c>
      <c r="E26" s="166">
        <f t="shared" si="0"/>
        <v>0</v>
      </c>
      <c r="F26" s="222">
        <f t="shared" si="2"/>
        <v>0</v>
      </c>
      <c r="G26" s="166">
        <f t="shared" si="3"/>
        <v>0</v>
      </c>
      <c r="H26" s="218">
        <f t="shared" si="4"/>
        <v>0</v>
      </c>
      <c r="I26" s="166"/>
      <c r="J26" s="163"/>
      <c r="K26" s="163" t="e">
        <f t="shared" si="9"/>
        <v>#DIV/0!</v>
      </c>
      <c r="L26" s="226">
        <f>G26*'&lt;서식5&gt;재원조달계획'!$I$20</f>
        <v>0</v>
      </c>
      <c r="M26" s="226">
        <f>M25*(1+'&lt;서식5&gt;재원조달계획'!$I$19)</f>
        <v>0</v>
      </c>
      <c r="N26" s="226" t="e">
        <f>N25*(1+'&lt;서식5&gt;재원조달계획'!$I$19)</f>
        <v>#DIV/0!</v>
      </c>
      <c r="O26" s="226">
        <f t="shared" si="5"/>
        <v>0</v>
      </c>
      <c r="P26" s="233" t="e">
        <f t="shared" si="6"/>
        <v>#DIV/0!</v>
      </c>
      <c r="Q26" s="568"/>
      <c r="R26" s="662">
        <v>0.02</v>
      </c>
      <c r="S26" s="663"/>
      <c r="T26" s="664"/>
      <c r="U26" s="664"/>
      <c r="V26" s="664"/>
      <c r="W26" s="665">
        <f>AA25*'&lt;서식5&gt;재원조달계획'!$E$19</f>
        <v>0</v>
      </c>
      <c r="X26" s="667">
        <f>AB25*'&lt;서식5&gt;재원조달계획'!$E$20</f>
        <v>0</v>
      </c>
      <c r="Y26" s="667">
        <f>AC25*'&lt;서식5&gt;재원조달계획'!$E$21*8/12</f>
        <v>0</v>
      </c>
      <c r="Z26" s="667">
        <f>AD25*'&lt;서식5&gt;재원조달계획'!$E$22</f>
        <v>0</v>
      </c>
      <c r="AA26" s="665">
        <f t="shared" si="11"/>
        <v>0</v>
      </c>
      <c r="AB26" s="665">
        <f t="shared" si="12"/>
        <v>0</v>
      </c>
      <c r="AC26" s="665">
        <f t="shared" si="13"/>
        <v>0</v>
      </c>
      <c r="AD26" s="666">
        <f t="shared" si="14"/>
        <v>0</v>
      </c>
    </row>
    <row r="27" spans="1:31" ht="30" customHeight="1">
      <c r="A27" s="654"/>
      <c r="B27" s="855">
        <v>21</v>
      </c>
      <c r="C27" s="228">
        <f t="shared" si="10"/>
        <v>2039</v>
      </c>
      <c r="D27" s="232" t="e">
        <f t="shared" si="1"/>
        <v>#DIV/0!</v>
      </c>
      <c r="E27" s="166">
        <f t="shared" si="0"/>
        <v>0</v>
      </c>
      <c r="F27" s="222">
        <f t="shared" si="2"/>
        <v>0</v>
      </c>
      <c r="G27" s="166">
        <f t="shared" si="3"/>
        <v>0</v>
      </c>
      <c r="H27" s="218">
        <f t="shared" si="4"/>
        <v>0</v>
      </c>
      <c r="I27" s="166"/>
      <c r="J27" s="163"/>
      <c r="K27" s="163" t="e">
        <f t="shared" si="9"/>
        <v>#DIV/0!</v>
      </c>
      <c r="L27" s="226">
        <f>G27*'&lt;서식5&gt;재원조달계획'!$I$20</f>
        <v>0</v>
      </c>
      <c r="M27" s="226">
        <f>M26*(1+'&lt;서식5&gt;재원조달계획'!$I$19)</f>
        <v>0</v>
      </c>
      <c r="N27" s="226" t="e">
        <f>N26*(1+'&lt;서식5&gt;재원조달계획'!$I$19)</f>
        <v>#DIV/0!</v>
      </c>
      <c r="O27" s="226">
        <f t="shared" si="5"/>
        <v>0</v>
      </c>
      <c r="P27" s="233" t="e">
        <f t="shared" si="6"/>
        <v>#DIV/0!</v>
      </c>
      <c r="Q27" s="568"/>
      <c r="R27" s="662">
        <v>0</v>
      </c>
      <c r="S27" s="663"/>
      <c r="T27" s="664"/>
      <c r="U27" s="664"/>
      <c r="V27" s="664"/>
      <c r="W27" s="665">
        <f>AA26*'&lt;서식5&gt;재원조달계획'!$E$19</f>
        <v>0</v>
      </c>
      <c r="X27" s="667">
        <f>AB26*'&lt;서식5&gt;재원조달계획'!$E$20</f>
        <v>0</v>
      </c>
      <c r="Y27" s="667">
        <f>AC26*'&lt;서식5&gt;재원조달계획'!$E$21*8/12</f>
        <v>0</v>
      </c>
      <c r="Z27" s="667">
        <f>AD26*'&lt;서식5&gt;재원조달계획'!$E$22</f>
        <v>0</v>
      </c>
      <c r="AA27" s="665">
        <f t="shared" si="11"/>
        <v>0</v>
      </c>
      <c r="AB27" s="665">
        <f t="shared" si="12"/>
        <v>0</v>
      </c>
      <c r="AC27" s="665">
        <f t="shared" si="13"/>
        <v>0</v>
      </c>
      <c r="AD27" s="666">
        <f t="shared" si="14"/>
        <v>0</v>
      </c>
    </row>
    <row r="28" spans="1:31" ht="30" customHeight="1">
      <c r="A28" s="654"/>
      <c r="B28" s="855">
        <v>22</v>
      </c>
      <c r="C28" s="228">
        <f t="shared" si="10"/>
        <v>2040</v>
      </c>
      <c r="D28" s="232" t="e">
        <f t="shared" si="1"/>
        <v>#DIV/0!</v>
      </c>
      <c r="E28" s="166">
        <f t="shared" si="0"/>
        <v>0</v>
      </c>
      <c r="F28" s="222">
        <f t="shared" si="2"/>
        <v>0</v>
      </c>
      <c r="G28" s="166">
        <f t="shared" si="3"/>
        <v>0</v>
      </c>
      <c r="H28" s="218">
        <f t="shared" si="4"/>
        <v>0</v>
      </c>
      <c r="I28" s="166"/>
      <c r="J28" s="163"/>
      <c r="K28" s="163" t="e">
        <f t="shared" si="9"/>
        <v>#DIV/0!</v>
      </c>
      <c r="L28" s="226">
        <f>G28*'&lt;서식5&gt;재원조달계획'!$I$20</f>
        <v>0</v>
      </c>
      <c r="M28" s="226">
        <f>M27*(1+'&lt;서식5&gt;재원조달계획'!$I$19)</f>
        <v>0</v>
      </c>
      <c r="N28" s="226" t="e">
        <f>N27*(1+'&lt;서식5&gt;재원조달계획'!$I$19)</f>
        <v>#DIV/0!</v>
      </c>
      <c r="O28" s="226">
        <f t="shared" si="5"/>
        <v>0</v>
      </c>
      <c r="P28" s="233" t="e">
        <f t="shared" si="6"/>
        <v>#DIV/0!</v>
      </c>
      <c r="Q28" s="568"/>
      <c r="R28" s="662">
        <v>0.02</v>
      </c>
      <c r="S28" s="663"/>
      <c r="T28" s="664"/>
      <c r="U28" s="664"/>
      <c r="V28" s="664"/>
      <c r="W28" s="665">
        <f>AA27*'&lt;서식5&gt;재원조달계획'!$E$19</f>
        <v>0</v>
      </c>
      <c r="X28" s="667">
        <f>AB27*'&lt;서식5&gt;재원조달계획'!$E$20</f>
        <v>0</v>
      </c>
      <c r="Y28" s="667">
        <f>AC27*'&lt;서식5&gt;재원조달계획'!$E$21*8/12</f>
        <v>0</v>
      </c>
      <c r="Z28" s="667">
        <f>AD27*'&lt;서식5&gt;재원조달계획'!$E$22</f>
        <v>0</v>
      </c>
      <c r="AA28" s="665">
        <f t="shared" si="11"/>
        <v>0</v>
      </c>
      <c r="AB28" s="665">
        <f t="shared" si="12"/>
        <v>0</v>
      </c>
      <c r="AC28" s="665">
        <f t="shared" si="13"/>
        <v>0</v>
      </c>
      <c r="AD28" s="666">
        <f t="shared" si="14"/>
        <v>0</v>
      </c>
    </row>
    <row r="29" spans="1:31" ht="30" customHeight="1">
      <c r="A29" s="654"/>
      <c r="B29" s="855">
        <v>23</v>
      </c>
      <c r="C29" s="228">
        <f t="shared" si="10"/>
        <v>2041</v>
      </c>
      <c r="D29" s="232" t="e">
        <f t="shared" si="1"/>
        <v>#DIV/0!</v>
      </c>
      <c r="E29" s="166">
        <f t="shared" si="0"/>
        <v>0</v>
      </c>
      <c r="F29" s="222">
        <f t="shared" si="2"/>
        <v>0</v>
      </c>
      <c r="G29" s="166">
        <f t="shared" si="3"/>
        <v>0</v>
      </c>
      <c r="H29" s="218">
        <f t="shared" si="4"/>
        <v>0</v>
      </c>
      <c r="I29" s="166"/>
      <c r="J29" s="163"/>
      <c r="K29" s="163" t="e">
        <f t="shared" si="9"/>
        <v>#DIV/0!</v>
      </c>
      <c r="L29" s="226">
        <f>G29*'&lt;서식5&gt;재원조달계획'!$I$20</f>
        <v>0</v>
      </c>
      <c r="M29" s="226">
        <f>M28*(1+'&lt;서식5&gt;재원조달계획'!$I$19)</f>
        <v>0</v>
      </c>
      <c r="N29" s="226" t="e">
        <f>N28*(1+'&lt;서식5&gt;재원조달계획'!$I$19)</f>
        <v>#DIV/0!</v>
      </c>
      <c r="O29" s="226">
        <f t="shared" si="5"/>
        <v>0</v>
      </c>
      <c r="P29" s="233" t="e">
        <f t="shared" si="6"/>
        <v>#DIV/0!</v>
      </c>
      <c r="Q29" s="568"/>
      <c r="R29" s="662">
        <v>0</v>
      </c>
      <c r="S29" s="663"/>
      <c r="T29" s="664"/>
      <c r="U29" s="664"/>
      <c r="V29" s="664"/>
      <c r="W29" s="665">
        <f>AA28*'&lt;서식5&gt;재원조달계획'!$E$19</f>
        <v>0</v>
      </c>
      <c r="X29" s="667">
        <f>AB28*'&lt;서식5&gt;재원조달계획'!$E$20</f>
        <v>0</v>
      </c>
      <c r="Y29" s="667">
        <f>AC28*'&lt;서식5&gt;재원조달계획'!$E$21*8/12</f>
        <v>0</v>
      </c>
      <c r="Z29" s="667">
        <f>AD28*'&lt;서식5&gt;재원조달계획'!$E$22</f>
        <v>0</v>
      </c>
      <c r="AA29" s="665">
        <f t="shared" si="11"/>
        <v>0</v>
      </c>
      <c r="AB29" s="665">
        <f t="shared" si="12"/>
        <v>0</v>
      </c>
      <c r="AC29" s="665">
        <f t="shared" si="13"/>
        <v>0</v>
      </c>
      <c r="AD29" s="666">
        <f t="shared" si="14"/>
        <v>0</v>
      </c>
    </row>
    <row r="30" spans="1:31" ht="30" customHeight="1">
      <c r="A30" s="654"/>
      <c r="B30" s="855">
        <v>24</v>
      </c>
      <c r="C30" s="228">
        <f t="shared" si="10"/>
        <v>2042</v>
      </c>
      <c r="D30" s="232" t="e">
        <f t="shared" si="1"/>
        <v>#DIV/0!</v>
      </c>
      <c r="E30" s="166">
        <f t="shared" si="0"/>
        <v>0</v>
      </c>
      <c r="F30" s="222">
        <f t="shared" si="2"/>
        <v>0</v>
      </c>
      <c r="G30" s="166">
        <f t="shared" si="3"/>
        <v>0</v>
      </c>
      <c r="H30" s="218">
        <f t="shared" si="4"/>
        <v>0</v>
      </c>
      <c r="I30" s="166"/>
      <c r="J30" s="163"/>
      <c r="K30" s="163" t="e">
        <f t="shared" si="9"/>
        <v>#DIV/0!</v>
      </c>
      <c r="L30" s="226">
        <f>G30*'&lt;서식5&gt;재원조달계획'!$I$20</f>
        <v>0</v>
      </c>
      <c r="M30" s="226">
        <f>M29*(1+'&lt;서식5&gt;재원조달계획'!$I$19)</f>
        <v>0</v>
      </c>
      <c r="N30" s="226" t="e">
        <f>N29*(1+'&lt;서식5&gt;재원조달계획'!$I$19)</f>
        <v>#DIV/0!</v>
      </c>
      <c r="O30" s="226">
        <f t="shared" si="5"/>
        <v>0</v>
      </c>
      <c r="P30" s="233" t="e">
        <f t="shared" si="6"/>
        <v>#DIV/0!</v>
      </c>
      <c r="Q30" s="568"/>
      <c r="R30" s="662">
        <v>0.02</v>
      </c>
      <c r="S30" s="663"/>
      <c r="T30" s="664"/>
      <c r="U30" s="664"/>
      <c r="V30" s="664"/>
      <c r="W30" s="665">
        <f>AA29*'&lt;서식5&gt;재원조달계획'!$E$19</f>
        <v>0</v>
      </c>
      <c r="X30" s="667">
        <f>AB29*'&lt;서식5&gt;재원조달계획'!$E$20</f>
        <v>0</v>
      </c>
      <c r="Y30" s="667">
        <f>AC29*'&lt;서식5&gt;재원조달계획'!$E$21*8/12</f>
        <v>0</v>
      </c>
      <c r="Z30" s="667">
        <f>AD29*'&lt;서식5&gt;재원조달계획'!$E$22</f>
        <v>0</v>
      </c>
      <c r="AA30" s="665">
        <f t="shared" si="11"/>
        <v>0</v>
      </c>
      <c r="AB30" s="665">
        <f t="shared" si="12"/>
        <v>0</v>
      </c>
      <c r="AC30" s="665">
        <f t="shared" si="13"/>
        <v>0</v>
      </c>
      <c r="AD30" s="666">
        <f t="shared" si="14"/>
        <v>0</v>
      </c>
    </row>
    <row r="31" spans="1:31" ht="30" customHeight="1">
      <c r="A31" s="654"/>
      <c r="B31" s="855">
        <v>25</v>
      </c>
      <c r="C31" s="228">
        <f t="shared" si="10"/>
        <v>2043</v>
      </c>
      <c r="D31" s="232" t="e">
        <f t="shared" si="1"/>
        <v>#DIV/0!</v>
      </c>
      <c r="E31" s="166">
        <f t="shared" si="0"/>
        <v>0</v>
      </c>
      <c r="F31" s="222">
        <f t="shared" si="2"/>
        <v>0</v>
      </c>
      <c r="G31" s="166">
        <f t="shared" si="3"/>
        <v>0</v>
      </c>
      <c r="H31" s="218">
        <f t="shared" si="4"/>
        <v>0</v>
      </c>
      <c r="I31" s="166"/>
      <c r="J31" s="163"/>
      <c r="K31" s="163" t="e">
        <f t="shared" si="9"/>
        <v>#DIV/0!</v>
      </c>
      <c r="L31" s="226">
        <f>G31*'&lt;서식5&gt;재원조달계획'!$I$20</f>
        <v>0</v>
      </c>
      <c r="M31" s="226">
        <f>M30*(1+'&lt;서식5&gt;재원조달계획'!$I$19)</f>
        <v>0</v>
      </c>
      <c r="N31" s="226" t="e">
        <f>N30*(1+'&lt;서식5&gt;재원조달계획'!$I$19)</f>
        <v>#DIV/0!</v>
      </c>
      <c r="O31" s="226">
        <f t="shared" si="5"/>
        <v>0</v>
      </c>
      <c r="P31" s="233" t="e">
        <f t="shared" si="6"/>
        <v>#DIV/0!</v>
      </c>
      <c r="Q31" s="568"/>
      <c r="R31" s="662">
        <v>0</v>
      </c>
      <c r="S31" s="663"/>
      <c r="T31" s="664"/>
      <c r="U31" s="664"/>
      <c r="V31" s="664"/>
      <c r="W31" s="665">
        <f>AA30*'&lt;서식5&gt;재원조달계획'!$E$19</f>
        <v>0</v>
      </c>
      <c r="X31" s="667">
        <f>AB30*'&lt;서식5&gt;재원조달계획'!$E$20</f>
        <v>0</v>
      </c>
      <c r="Y31" s="667">
        <f>AC30*'&lt;서식5&gt;재원조달계획'!$E$21*8/12</f>
        <v>0</v>
      </c>
      <c r="Z31" s="667">
        <f>AD30*'&lt;서식5&gt;재원조달계획'!$E$22</f>
        <v>0</v>
      </c>
      <c r="AA31" s="665">
        <f t="shared" si="11"/>
        <v>0</v>
      </c>
      <c r="AB31" s="665">
        <f t="shared" si="12"/>
        <v>0</v>
      </c>
      <c r="AC31" s="665">
        <f t="shared" si="13"/>
        <v>0</v>
      </c>
      <c r="AD31" s="666">
        <f t="shared" si="14"/>
        <v>0</v>
      </c>
    </row>
    <row r="32" spans="1:31" ht="30" customHeight="1">
      <c r="A32" s="654"/>
      <c r="B32" s="855">
        <v>26</v>
      </c>
      <c r="C32" s="228">
        <f t="shared" si="10"/>
        <v>2044</v>
      </c>
      <c r="D32" s="232" t="e">
        <f t="shared" si="1"/>
        <v>#DIV/0!</v>
      </c>
      <c r="E32" s="166">
        <f t="shared" si="0"/>
        <v>0</v>
      </c>
      <c r="F32" s="222">
        <f t="shared" si="2"/>
        <v>0</v>
      </c>
      <c r="G32" s="166">
        <f t="shared" si="3"/>
        <v>0</v>
      </c>
      <c r="H32" s="218">
        <f t="shared" si="4"/>
        <v>0</v>
      </c>
      <c r="I32" s="166"/>
      <c r="J32" s="163"/>
      <c r="K32" s="163" t="e">
        <f t="shared" si="9"/>
        <v>#DIV/0!</v>
      </c>
      <c r="L32" s="226">
        <f>G32*'&lt;서식5&gt;재원조달계획'!$I$20</f>
        <v>0</v>
      </c>
      <c r="M32" s="226">
        <f>M31*(1+'&lt;서식5&gt;재원조달계획'!$I$19)</f>
        <v>0</v>
      </c>
      <c r="N32" s="226" t="e">
        <f>N31*(1+'&lt;서식5&gt;재원조달계획'!$I$19)</f>
        <v>#DIV/0!</v>
      </c>
      <c r="O32" s="226">
        <f t="shared" si="5"/>
        <v>0</v>
      </c>
      <c r="P32" s="233" t="e">
        <f t="shared" si="6"/>
        <v>#DIV/0!</v>
      </c>
      <c r="Q32" s="568"/>
      <c r="R32" s="662">
        <v>0.02</v>
      </c>
      <c r="S32" s="663"/>
      <c r="T32" s="664"/>
      <c r="U32" s="664"/>
      <c r="V32" s="664"/>
      <c r="W32" s="665">
        <f>AA31*'&lt;서식5&gt;재원조달계획'!$E$19</f>
        <v>0</v>
      </c>
      <c r="X32" s="667">
        <f>AB31*'&lt;서식5&gt;재원조달계획'!$E$20</f>
        <v>0</v>
      </c>
      <c r="Y32" s="667">
        <f>AC31*'&lt;서식5&gt;재원조달계획'!$E$21*8/12</f>
        <v>0</v>
      </c>
      <c r="Z32" s="667">
        <f>AD31*'&lt;서식5&gt;재원조달계획'!$E$22</f>
        <v>0</v>
      </c>
      <c r="AA32" s="665">
        <f t="shared" si="11"/>
        <v>0</v>
      </c>
      <c r="AB32" s="665">
        <f t="shared" si="12"/>
        <v>0</v>
      </c>
      <c r="AC32" s="665">
        <f t="shared" si="13"/>
        <v>0</v>
      </c>
      <c r="AD32" s="666">
        <f t="shared" si="14"/>
        <v>0</v>
      </c>
    </row>
    <row r="33" spans="1:30" ht="30" customHeight="1">
      <c r="A33" s="654"/>
      <c r="B33" s="855">
        <v>27</v>
      </c>
      <c r="C33" s="228">
        <f t="shared" si="10"/>
        <v>2045</v>
      </c>
      <c r="D33" s="232" t="e">
        <f t="shared" si="1"/>
        <v>#DIV/0!</v>
      </c>
      <c r="E33" s="166">
        <f t="shared" si="0"/>
        <v>0</v>
      </c>
      <c r="F33" s="222">
        <f t="shared" si="2"/>
        <v>0</v>
      </c>
      <c r="G33" s="166">
        <f t="shared" si="3"/>
        <v>0</v>
      </c>
      <c r="H33" s="218">
        <f t="shared" si="4"/>
        <v>0</v>
      </c>
      <c r="I33" s="166"/>
      <c r="J33" s="163"/>
      <c r="K33" s="163" t="e">
        <f t="shared" si="9"/>
        <v>#DIV/0!</v>
      </c>
      <c r="L33" s="226">
        <f>G33*'&lt;서식5&gt;재원조달계획'!$I$20</f>
        <v>0</v>
      </c>
      <c r="M33" s="226">
        <f>M32*(1+'&lt;서식5&gt;재원조달계획'!$I$19)</f>
        <v>0</v>
      </c>
      <c r="N33" s="226" t="e">
        <f>N32*(1+'&lt;서식5&gt;재원조달계획'!$I$19)</f>
        <v>#DIV/0!</v>
      </c>
      <c r="O33" s="226">
        <f t="shared" si="5"/>
        <v>0</v>
      </c>
      <c r="P33" s="233" t="e">
        <f t="shared" si="6"/>
        <v>#DIV/0!</v>
      </c>
      <c r="Q33" s="568"/>
      <c r="R33" s="662">
        <v>0</v>
      </c>
      <c r="S33" s="663"/>
      <c r="T33" s="664"/>
      <c r="U33" s="664"/>
      <c r="V33" s="664"/>
      <c r="W33" s="665">
        <f>AA32*'&lt;서식5&gt;재원조달계획'!$E$19</f>
        <v>0</v>
      </c>
      <c r="X33" s="667">
        <f>AB32*'&lt;서식5&gt;재원조달계획'!$E$20</f>
        <v>0</v>
      </c>
      <c r="Y33" s="667">
        <f>AC32*'&lt;서식5&gt;재원조달계획'!$E$21*8/12</f>
        <v>0</v>
      </c>
      <c r="Z33" s="667">
        <f>AD32*'&lt;서식5&gt;재원조달계획'!$E$22</f>
        <v>0</v>
      </c>
      <c r="AA33" s="665">
        <f t="shared" si="11"/>
        <v>0</v>
      </c>
      <c r="AB33" s="665">
        <f t="shared" si="12"/>
        <v>0</v>
      </c>
      <c r="AC33" s="665">
        <f t="shared" si="13"/>
        <v>0</v>
      </c>
      <c r="AD33" s="666">
        <f t="shared" si="14"/>
        <v>0</v>
      </c>
    </row>
    <row r="34" spans="1:30" ht="30" customHeight="1">
      <c r="A34" s="654"/>
      <c r="B34" s="855">
        <v>28</v>
      </c>
      <c r="C34" s="228">
        <f t="shared" si="10"/>
        <v>2046</v>
      </c>
      <c r="D34" s="232" t="e">
        <f t="shared" si="1"/>
        <v>#DIV/0!</v>
      </c>
      <c r="E34" s="166">
        <f t="shared" si="0"/>
        <v>0</v>
      </c>
      <c r="F34" s="222">
        <f t="shared" si="2"/>
        <v>0</v>
      </c>
      <c r="G34" s="166">
        <f t="shared" si="3"/>
        <v>0</v>
      </c>
      <c r="H34" s="218">
        <f t="shared" si="4"/>
        <v>0</v>
      </c>
      <c r="I34" s="166"/>
      <c r="J34" s="163"/>
      <c r="K34" s="163" t="e">
        <f t="shared" si="9"/>
        <v>#DIV/0!</v>
      </c>
      <c r="L34" s="226">
        <f>G34*'&lt;서식5&gt;재원조달계획'!$I$20</f>
        <v>0</v>
      </c>
      <c r="M34" s="226">
        <f>M33*(1+'&lt;서식5&gt;재원조달계획'!$I$19)</f>
        <v>0</v>
      </c>
      <c r="N34" s="226" t="e">
        <f>N33*(1+'&lt;서식5&gt;재원조달계획'!$I$19)</f>
        <v>#DIV/0!</v>
      </c>
      <c r="O34" s="226">
        <f t="shared" si="5"/>
        <v>0</v>
      </c>
      <c r="P34" s="233" t="e">
        <f t="shared" si="6"/>
        <v>#DIV/0!</v>
      </c>
      <c r="Q34" s="568"/>
      <c r="R34" s="662">
        <v>0.02</v>
      </c>
      <c r="S34" s="663"/>
      <c r="T34" s="664"/>
      <c r="U34" s="664"/>
      <c r="V34" s="664"/>
      <c r="W34" s="665">
        <f>AA33*'&lt;서식5&gt;재원조달계획'!$E$19</f>
        <v>0</v>
      </c>
      <c r="X34" s="667">
        <f>AB33*'&lt;서식5&gt;재원조달계획'!$E$20</f>
        <v>0</v>
      </c>
      <c r="Y34" s="667">
        <f>AC33*'&lt;서식5&gt;재원조달계획'!$E$21*8/12</f>
        <v>0</v>
      </c>
      <c r="Z34" s="667">
        <f>AD33*'&lt;서식5&gt;재원조달계획'!$E$22</f>
        <v>0</v>
      </c>
      <c r="AA34" s="665">
        <f t="shared" si="11"/>
        <v>0</v>
      </c>
      <c r="AB34" s="665">
        <f t="shared" si="12"/>
        <v>0</v>
      </c>
      <c r="AC34" s="665">
        <f t="shared" si="13"/>
        <v>0</v>
      </c>
      <c r="AD34" s="666">
        <f t="shared" si="14"/>
        <v>0</v>
      </c>
    </row>
    <row r="35" spans="1:30" ht="30" customHeight="1">
      <c r="A35" s="654"/>
      <c r="B35" s="855">
        <v>29</v>
      </c>
      <c r="C35" s="228">
        <f t="shared" si="10"/>
        <v>2047</v>
      </c>
      <c r="D35" s="232" t="e">
        <f t="shared" si="1"/>
        <v>#DIV/0!</v>
      </c>
      <c r="E35" s="166">
        <f t="shared" si="0"/>
        <v>0</v>
      </c>
      <c r="F35" s="222">
        <f t="shared" si="2"/>
        <v>0</v>
      </c>
      <c r="G35" s="166">
        <f t="shared" si="3"/>
        <v>0</v>
      </c>
      <c r="H35" s="218">
        <f t="shared" si="4"/>
        <v>0</v>
      </c>
      <c r="I35" s="166"/>
      <c r="J35" s="163"/>
      <c r="K35" s="163" t="e">
        <f t="shared" si="9"/>
        <v>#DIV/0!</v>
      </c>
      <c r="L35" s="226">
        <f>G35*'&lt;서식5&gt;재원조달계획'!$I$20</f>
        <v>0</v>
      </c>
      <c r="M35" s="226">
        <f>M34*(1+'&lt;서식5&gt;재원조달계획'!$I$19)</f>
        <v>0</v>
      </c>
      <c r="N35" s="226" t="e">
        <f>N34*(1+'&lt;서식5&gt;재원조달계획'!$I$19)</f>
        <v>#DIV/0!</v>
      </c>
      <c r="O35" s="226">
        <f t="shared" si="5"/>
        <v>0</v>
      </c>
      <c r="P35" s="233" t="e">
        <f t="shared" si="6"/>
        <v>#DIV/0!</v>
      </c>
      <c r="Q35" s="568"/>
      <c r="R35" s="662">
        <v>0</v>
      </c>
      <c r="S35" s="663"/>
      <c r="T35" s="664"/>
      <c r="U35" s="664"/>
      <c r="V35" s="664"/>
      <c r="W35" s="665">
        <f>AA34*'&lt;서식5&gt;재원조달계획'!$E$19</f>
        <v>0</v>
      </c>
      <c r="X35" s="667">
        <f>AB34*'&lt;서식5&gt;재원조달계획'!$E$20</f>
        <v>0</v>
      </c>
      <c r="Y35" s="667">
        <f>AC34*'&lt;서식5&gt;재원조달계획'!$E$21*8/12</f>
        <v>0</v>
      </c>
      <c r="Z35" s="667">
        <f>AD34*'&lt;서식5&gt;재원조달계획'!$E$22</f>
        <v>0</v>
      </c>
      <c r="AA35" s="665">
        <f t="shared" si="11"/>
        <v>0</v>
      </c>
      <c r="AB35" s="665">
        <f t="shared" si="12"/>
        <v>0</v>
      </c>
      <c r="AC35" s="665">
        <f t="shared" si="13"/>
        <v>0</v>
      </c>
      <c r="AD35" s="666">
        <f t="shared" si="14"/>
        <v>0</v>
      </c>
    </row>
    <row r="36" spans="1:30" ht="30" customHeight="1">
      <c r="A36" s="654"/>
      <c r="B36" s="855">
        <v>30</v>
      </c>
      <c r="C36" s="228">
        <f t="shared" si="10"/>
        <v>2048</v>
      </c>
      <c r="D36" s="232" t="e">
        <f t="shared" si="1"/>
        <v>#DIV/0!</v>
      </c>
      <c r="E36" s="166">
        <f t="shared" si="0"/>
        <v>0</v>
      </c>
      <c r="F36" s="222">
        <f t="shared" si="2"/>
        <v>0</v>
      </c>
      <c r="G36" s="166">
        <f t="shared" si="3"/>
        <v>0</v>
      </c>
      <c r="H36" s="218">
        <f t="shared" si="4"/>
        <v>0</v>
      </c>
      <c r="I36" s="166"/>
      <c r="J36" s="163"/>
      <c r="K36" s="163" t="e">
        <f t="shared" si="9"/>
        <v>#DIV/0!</v>
      </c>
      <c r="L36" s="226">
        <f>G36*'&lt;서식5&gt;재원조달계획'!$I$20</f>
        <v>0</v>
      </c>
      <c r="M36" s="226">
        <f>M35*(1+'&lt;서식5&gt;재원조달계획'!$I$19)</f>
        <v>0</v>
      </c>
      <c r="N36" s="226" t="e">
        <f>N35*(1+'&lt;서식5&gt;재원조달계획'!$I$19)</f>
        <v>#DIV/0!</v>
      </c>
      <c r="O36" s="226">
        <f t="shared" si="5"/>
        <v>0</v>
      </c>
      <c r="P36" s="233" t="e">
        <f t="shared" si="6"/>
        <v>#DIV/0!</v>
      </c>
      <c r="Q36" s="568"/>
      <c r="R36" s="662">
        <v>0.02</v>
      </c>
      <c r="S36" s="663"/>
      <c r="T36" s="664"/>
      <c r="U36" s="664"/>
      <c r="V36" s="664"/>
      <c r="W36" s="665">
        <f>AA35*'&lt;서식5&gt;재원조달계획'!$E$19</f>
        <v>0</v>
      </c>
      <c r="X36" s="667">
        <f>AB35*'&lt;서식5&gt;재원조달계획'!$E$20</f>
        <v>0</v>
      </c>
      <c r="Y36" s="667">
        <f>AC35*'&lt;서식5&gt;재원조달계획'!$E$21*8/12</f>
        <v>0</v>
      </c>
      <c r="Z36" s="667">
        <f>AD35*'&lt;서식5&gt;재원조달계획'!$E$22</f>
        <v>0</v>
      </c>
      <c r="AA36" s="665">
        <f t="shared" si="11"/>
        <v>0</v>
      </c>
      <c r="AB36" s="665">
        <f t="shared" si="12"/>
        <v>0</v>
      </c>
      <c r="AC36" s="665">
        <f t="shared" si="13"/>
        <v>0</v>
      </c>
      <c r="AD36" s="666">
        <f t="shared" si="14"/>
        <v>0</v>
      </c>
    </row>
    <row r="37" spans="1:30" ht="30" customHeight="1">
      <c r="A37" s="654"/>
      <c r="B37" s="855">
        <v>31</v>
      </c>
      <c r="C37" s="228">
        <f t="shared" si="10"/>
        <v>2049</v>
      </c>
      <c r="D37" s="232" t="e">
        <f t="shared" si="1"/>
        <v>#DIV/0!</v>
      </c>
      <c r="E37" s="166">
        <f t="shared" si="0"/>
        <v>0</v>
      </c>
      <c r="F37" s="222">
        <f t="shared" si="2"/>
        <v>0</v>
      </c>
      <c r="G37" s="166">
        <f t="shared" si="3"/>
        <v>0</v>
      </c>
      <c r="H37" s="218">
        <f t="shared" si="4"/>
        <v>0</v>
      </c>
      <c r="I37" s="166"/>
      <c r="J37" s="163"/>
      <c r="K37" s="163" t="e">
        <f t="shared" si="9"/>
        <v>#DIV/0!</v>
      </c>
      <c r="L37" s="226">
        <f>G37*'&lt;서식5&gt;재원조달계획'!$I$20</f>
        <v>0</v>
      </c>
      <c r="M37" s="226">
        <f>M36*(1+'&lt;서식5&gt;재원조달계획'!$I$19)</f>
        <v>0</v>
      </c>
      <c r="N37" s="226" t="e">
        <f>N36*(1+'&lt;서식5&gt;재원조달계획'!$I$19)</f>
        <v>#DIV/0!</v>
      </c>
      <c r="O37" s="226">
        <f t="shared" si="5"/>
        <v>0</v>
      </c>
      <c r="P37" s="233" t="e">
        <f t="shared" si="6"/>
        <v>#DIV/0!</v>
      </c>
      <c r="Q37" s="568"/>
      <c r="R37" s="662">
        <v>0</v>
      </c>
      <c r="S37" s="663"/>
      <c r="T37" s="664"/>
      <c r="U37" s="664"/>
      <c r="V37" s="664"/>
      <c r="W37" s="665">
        <f>AA36*'&lt;서식5&gt;재원조달계획'!$E$19</f>
        <v>0</v>
      </c>
      <c r="X37" s="667">
        <f>AB36*'&lt;서식5&gt;재원조달계획'!$E$20</f>
        <v>0</v>
      </c>
      <c r="Y37" s="667">
        <f>AC36*'&lt;서식5&gt;재원조달계획'!$E$21*8/12</f>
        <v>0</v>
      </c>
      <c r="Z37" s="667">
        <f>AD36*'&lt;서식5&gt;재원조달계획'!$E$22</f>
        <v>0</v>
      </c>
      <c r="AA37" s="665">
        <f t="shared" si="11"/>
        <v>0</v>
      </c>
      <c r="AB37" s="665">
        <f t="shared" si="12"/>
        <v>0</v>
      </c>
      <c r="AC37" s="665">
        <f t="shared" si="13"/>
        <v>0</v>
      </c>
      <c r="AD37" s="666">
        <f t="shared" si="14"/>
        <v>0</v>
      </c>
    </row>
    <row r="38" spans="1:30" ht="30" customHeight="1">
      <c r="A38" s="654"/>
      <c r="B38" s="855">
        <v>32</v>
      </c>
      <c r="C38" s="228">
        <f t="shared" si="10"/>
        <v>2050</v>
      </c>
      <c r="D38" s="232" t="e">
        <f t="shared" si="1"/>
        <v>#DIV/0!</v>
      </c>
      <c r="E38" s="166">
        <f t="shared" si="0"/>
        <v>0</v>
      </c>
      <c r="F38" s="222">
        <f t="shared" si="2"/>
        <v>0</v>
      </c>
      <c r="G38" s="166">
        <f t="shared" si="3"/>
        <v>0</v>
      </c>
      <c r="H38" s="218">
        <f t="shared" si="4"/>
        <v>0</v>
      </c>
      <c r="I38" s="166"/>
      <c r="J38" s="163"/>
      <c r="K38" s="163" t="e">
        <f t="shared" si="9"/>
        <v>#DIV/0!</v>
      </c>
      <c r="L38" s="226">
        <f>G38*'&lt;서식5&gt;재원조달계획'!$I$20</f>
        <v>0</v>
      </c>
      <c r="M38" s="226">
        <f>M37*(1+'&lt;서식5&gt;재원조달계획'!$I$19)</f>
        <v>0</v>
      </c>
      <c r="N38" s="226" t="e">
        <f>N37*(1+'&lt;서식5&gt;재원조달계획'!$I$19)</f>
        <v>#DIV/0!</v>
      </c>
      <c r="O38" s="226">
        <f t="shared" si="5"/>
        <v>0</v>
      </c>
      <c r="P38" s="233" t="e">
        <f t="shared" si="6"/>
        <v>#DIV/0!</v>
      </c>
      <c r="Q38" s="568"/>
      <c r="R38" s="662">
        <v>0.02</v>
      </c>
      <c r="S38" s="663"/>
      <c r="T38" s="664"/>
      <c r="U38" s="664"/>
      <c r="V38" s="664"/>
      <c r="W38" s="665">
        <f>AA37*'&lt;서식5&gt;재원조달계획'!$E$19</f>
        <v>0</v>
      </c>
      <c r="X38" s="667">
        <f>AB37*'&lt;서식5&gt;재원조달계획'!$E$20</f>
        <v>0</v>
      </c>
      <c r="Y38" s="667">
        <f>AC37*'&lt;서식5&gt;재원조달계획'!$E$21*8/12</f>
        <v>0</v>
      </c>
      <c r="Z38" s="667">
        <f>AD37*'&lt;서식5&gt;재원조달계획'!$E$22</f>
        <v>0</v>
      </c>
      <c r="AA38" s="665">
        <f t="shared" si="11"/>
        <v>0</v>
      </c>
      <c r="AB38" s="665">
        <f t="shared" si="12"/>
        <v>0</v>
      </c>
      <c r="AC38" s="665">
        <f t="shared" si="13"/>
        <v>0</v>
      </c>
      <c r="AD38" s="666">
        <f t="shared" si="14"/>
        <v>0</v>
      </c>
    </row>
    <row r="39" spans="1:30" ht="30" customHeight="1">
      <c r="A39" s="654"/>
      <c r="B39" s="855">
        <v>33</v>
      </c>
      <c r="C39" s="228">
        <f t="shared" si="10"/>
        <v>2051</v>
      </c>
      <c r="D39" s="232" t="e">
        <f t="shared" si="1"/>
        <v>#DIV/0!</v>
      </c>
      <c r="E39" s="166">
        <f t="shared" si="0"/>
        <v>0</v>
      </c>
      <c r="F39" s="222">
        <f t="shared" si="2"/>
        <v>0</v>
      </c>
      <c r="G39" s="166">
        <f t="shared" si="3"/>
        <v>0</v>
      </c>
      <c r="H39" s="218">
        <f t="shared" si="4"/>
        <v>0</v>
      </c>
      <c r="I39" s="166"/>
      <c r="J39" s="163"/>
      <c r="K39" s="163" t="e">
        <f t="shared" si="9"/>
        <v>#DIV/0!</v>
      </c>
      <c r="L39" s="226">
        <f>G39*'&lt;서식5&gt;재원조달계획'!$I$20</f>
        <v>0</v>
      </c>
      <c r="M39" s="226">
        <f>M38*(1+'&lt;서식5&gt;재원조달계획'!$I$19)</f>
        <v>0</v>
      </c>
      <c r="N39" s="226" t="e">
        <f>N38*(1+'&lt;서식5&gt;재원조달계획'!$I$19)</f>
        <v>#DIV/0!</v>
      </c>
      <c r="O39" s="226">
        <f t="shared" si="5"/>
        <v>0</v>
      </c>
      <c r="P39" s="233" t="e">
        <f t="shared" si="6"/>
        <v>#DIV/0!</v>
      </c>
      <c r="Q39" s="568"/>
      <c r="R39" s="662">
        <v>0</v>
      </c>
      <c r="S39" s="663"/>
      <c r="T39" s="664"/>
      <c r="U39" s="664"/>
      <c r="V39" s="664"/>
      <c r="W39" s="665">
        <f>AA38*'&lt;서식5&gt;재원조달계획'!$E$19</f>
        <v>0</v>
      </c>
      <c r="X39" s="667">
        <f>AB38*'&lt;서식5&gt;재원조달계획'!$E$20</f>
        <v>0</v>
      </c>
      <c r="Y39" s="667">
        <f>AC38*'&lt;서식5&gt;재원조달계획'!$E$21*8/12</f>
        <v>0</v>
      </c>
      <c r="Z39" s="667">
        <f>AD38*'&lt;서식5&gt;재원조달계획'!$E$22</f>
        <v>0</v>
      </c>
      <c r="AA39" s="665">
        <f t="shared" si="11"/>
        <v>0</v>
      </c>
      <c r="AB39" s="665">
        <f t="shared" si="12"/>
        <v>0</v>
      </c>
      <c r="AC39" s="665">
        <f t="shared" si="13"/>
        <v>0</v>
      </c>
      <c r="AD39" s="666">
        <f t="shared" si="14"/>
        <v>0</v>
      </c>
    </row>
    <row r="40" spans="1:30" ht="30" customHeight="1">
      <c r="A40" s="654"/>
      <c r="B40" s="855">
        <v>34</v>
      </c>
      <c r="C40" s="228">
        <f t="shared" si="10"/>
        <v>2052</v>
      </c>
      <c r="D40" s="232" t="e">
        <f t="shared" si="1"/>
        <v>#DIV/0!</v>
      </c>
      <c r="E40" s="166">
        <f t="shared" si="0"/>
        <v>0</v>
      </c>
      <c r="F40" s="222">
        <f t="shared" si="2"/>
        <v>0</v>
      </c>
      <c r="G40" s="166">
        <f t="shared" si="3"/>
        <v>0</v>
      </c>
      <c r="H40" s="218">
        <f t="shared" si="4"/>
        <v>0</v>
      </c>
      <c r="I40" s="166"/>
      <c r="J40" s="163"/>
      <c r="K40" s="163" t="e">
        <f t="shared" si="9"/>
        <v>#DIV/0!</v>
      </c>
      <c r="L40" s="226">
        <f>G40*'&lt;서식5&gt;재원조달계획'!$I$20</f>
        <v>0</v>
      </c>
      <c r="M40" s="226">
        <f>M39*(1+'&lt;서식5&gt;재원조달계획'!$I$19)</f>
        <v>0</v>
      </c>
      <c r="N40" s="226" t="e">
        <f>N39*(1+'&lt;서식5&gt;재원조달계획'!$I$19)</f>
        <v>#DIV/0!</v>
      </c>
      <c r="O40" s="226">
        <f t="shared" si="5"/>
        <v>0</v>
      </c>
      <c r="P40" s="233" t="e">
        <f t="shared" si="6"/>
        <v>#DIV/0!</v>
      </c>
      <c r="Q40" s="568"/>
      <c r="R40" s="662">
        <v>0.02</v>
      </c>
      <c r="S40" s="663"/>
      <c r="T40" s="664"/>
      <c r="U40" s="664"/>
      <c r="V40" s="664"/>
      <c r="W40" s="665">
        <f>AA39*'&lt;서식5&gt;재원조달계획'!$E$19</f>
        <v>0</v>
      </c>
      <c r="X40" s="667">
        <f>AB39*'&lt;서식5&gt;재원조달계획'!$E$20</f>
        <v>0</v>
      </c>
      <c r="Y40" s="667">
        <f>AC39*'&lt;서식5&gt;재원조달계획'!$E$21*8/12</f>
        <v>0</v>
      </c>
      <c r="Z40" s="667">
        <f>AD39*'&lt;서식5&gt;재원조달계획'!$E$22</f>
        <v>0</v>
      </c>
      <c r="AA40" s="665">
        <f t="shared" si="11"/>
        <v>0</v>
      </c>
      <c r="AB40" s="665">
        <f t="shared" si="12"/>
        <v>0</v>
      </c>
      <c r="AC40" s="665">
        <f t="shared" si="13"/>
        <v>0</v>
      </c>
      <c r="AD40" s="666">
        <f t="shared" si="14"/>
        <v>0</v>
      </c>
    </row>
    <row r="41" spans="1:30" ht="30" customHeight="1">
      <c r="A41" s="654"/>
      <c r="B41" s="855">
        <v>35</v>
      </c>
      <c r="C41" s="228">
        <f t="shared" si="10"/>
        <v>2053</v>
      </c>
      <c r="D41" s="232" t="e">
        <f t="shared" si="1"/>
        <v>#DIV/0!</v>
      </c>
      <c r="E41" s="166">
        <f t="shared" si="0"/>
        <v>0</v>
      </c>
      <c r="F41" s="222">
        <f t="shared" si="2"/>
        <v>0</v>
      </c>
      <c r="G41" s="166">
        <f t="shared" si="3"/>
        <v>0</v>
      </c>
      <c r="H41" s="218">
        <f t="shared" si="4"/>
        <v>0</v>
      </c>
      <c r="I41" s="166"/>
      <c r="J41" s="163"/>
      <c r="K41" s="163" t="e">
        <f t="shared" si="9"/>
        <v>#DIV/0!</v>
      </c>
      <c r="L41" s="226">
        <f>G41*'&lt;서식5&gt;재원조달계획'!$I$20</f>
        <v>0</v>
      </c>
      <c r="M41" s="226">
        <f>M40*(1+'&lt;서식5&gt;재원조달계획'!$I$19)</f>
        <v>0</v>
      </c>
      <c r="N41" s="226" t="e">
        <f>N40*(1+'&lt;서식5&gt;재원조달계획'!$I$19)</f>
        <v>#DIV/0!</v>
      </c>
      <c r="O41" s="226">
        <f t="shared" si="5"/>
        <v>0</v>
      </c>
      <c r="P41" s="233" t="e">
        <f t="shared" si="6"/>
        <v>#DIV/0!</v>
      </c>
      <c r="Q41" s="568"/>
      <c r="R41" s="662">
        <v>0</v>
      </c>
      <c r="S41" s="663"/>
      <c r="T41" s="664"/>
      <c r="U41" s="664"/>
      <c r="V41" s="664"/>
      <c r="W41" s="665">
        <f>AA40*'&lt;서식5&gt;재원조달계획'!$E$19</f>
        <v>0</v>
      </c>
      <c r="X41" s="667">
        <f>AB40*'&lt;서식5&gt;재원조달계획'!$E$20</f>
        <v>0</v>
      </c>
      <c r="Y41" s="667">
        <f>AC40*'&lt;서식5&gt;재원조달계획'!$E$21*8/12</f>
        <v>0</v>
      </c>
      <c r="Z41" s="667">
        <f>AD40*'&lt;서식5&gt;재원조달계획'!$E$22</f>
        <v>0</v>
      </c>
      <c r="AA41" s="665">
        <f t="shared" si="11"/>
        <v>0</v>
      </c>
      <c r="AB41" s="665">
        <f t="shared" si="12"/>
        <v>0</v>
      </c>
      <c r="AC41" s="665">
        <f t="shared" si="13"/>
        <v>0</v>
      </c>
      <c r="AD41" s="666">
        <f t="shared" si="14"/>
        <v>0</v>
      </c>
    </row>
    <row r="42" spans="1:30" ht="30" customHeight="1">
      <c r="A42" s="654"/>
      <c r="B42" s="855">
        <v>36</v>
      </c>
      <c r="C42" s="228">
        <f t="shared" si="10"/>
        <v>2054</v>
      </c>
      <c r="D42" s="232" t="e">
        <f t="shared" si="1"/>
        <v>#DIV/0!</v>
      </c>
      <c r="E42" s="166">
        <f t="shared" si="0"/>
        <v>0</v>
      </c>
      <c r="F42" s="222">
        <f t="shared" si="2"/>
        <v>0</v>
      </c>
      <c r="G42" s="166">
        <f t="shared" si="3"/>
        <v>0</v>
      </c>
      <c r="H42" s="218">
        <f t="shared" si="4"/>
        <v>0</v>
      </c>
      <c r="I42" s="166"/>
      <c r="J42" s="163"/>
      <c r="K42" s="163" t="e">
        <f t="shared" si="9"/>
        <v>#DIV/0!</v>
      </c>
      <c r="L42" s="226">
        <f>G42*'&lt;서식5&gt;재원조달계획'!$I$20</f>
        <v>0</v>
      </c>
      <c r="M42" s="226">
        <f>M41*(1+'&lt;서식5&gt;재원조달계획'!$I$19)</f>
        <v>0</v>
      </c>
      <c r="N42" s="226" t="e">
        <f>N41*(1+'&lt;서식5&gt;재원조달계획'!$I$19)</f>
        <v>#DIV/0!</v>
      </c>
      <c r="O42" s="226">
        <f t="shared" si="5"/>
        <v>0</v>
      </c>
      <c r="P42" s="233" t="e">
        <f t="shared" si="6"/>
        <v>#DIV/0!</v>
      </c>
      <c r="Q42" s="568"/>
      <c r="R42" s="662">
        <v>0.02</v>
      </c>
      <c r="S42" s="663"/>
      <c r="T42" s="664"/>
      <c r="U42" s="664"/>
      <c r="V42" s="664"/>
      <c r="W42" s="665">
        <f>AA41*'&lt;서식5&gt;재원조달계획'!$E$19</f>
        <v>0</v>
      </c>
      <c r="X42" s="667">
        <f>AB41*'&lt;서식5&gt;재원조달계획'!$E$20</f>
        <v>0</v>
      </c>
      <c r="Y42" s="667">
        <f>AC41*'&lt;서식5&gt;재원조달계획'!$E$21*8/12</f>
        <v>0</v>
      </c>
      <c r="Z42" s="667">
        <f>AD41*'&lt;서식5&gt;재원조달계획'!$E$22</f>
        <v>0</v>
      </c>
      <c r="AA42" s="665">
        <f t="shared" si="11"/>
        <v>0</v>
      </c>
      <c r="AB42" s="665">
        <f t="shared" si="12"/>
        <v>0</v>
      </c>
      <c r="AC42" s="665">
        <f t="shared" si="13"/>
        <v>0</v>
      </c>
      <c r="AD42" s="666">
        <f t="shared" si="14"/>
        <v>0</v>
      </c>
    </row>
    <row r="43" spans="1:30" ht="30" customHeight="1">
      <c r="A43" s="654"/>
      <c r="B43" s="855">
        <v>37</v>
      </c>
      <c r="C43" s="228">
        <f t="shared" si="10"/>
        <v>2055</v>
      </c>
      <c r="D43" s="232" t="e">
        <f t="shared" si="1"/>
        <v>#DIV/0!</v>
      </c>
      <c r="E43" s="166">
        <f t="shared" si="0"/>
        <v>0</v>
      </c>
      <c r="F43" s="222">
        <f t="shared" si="2"/>
        <v>0</v>
      </c>
      <c r="G43" s="166">
        <f t="shared" si="3"/>
        <v>0</v>
      </c>
      <c r="H43" s="218">
        <f t="shared" si="4"/>
        <v>0</v>
      </c>
      <c r="I43" s="166"/>
      <c r="J43" s="163"/>
      <c r="K43" s="163" t="e">
        <f t="shared" si="9"/>
        <v>#DIV/0!</v>
      </c>
      <c r="L43" s="226">
        <f>G43*'&lt;서식5&gt;재원조달계획'!$I$20</f>
        <v>0</v>
      </c>
      <c r="M43" s="226">
        <f>M42*(1+'&lt;서식5&gt;재원조달계획'!$I$19)</f>
        <v>0</v>
      </c>
      <c r="N43" s="226" t="e">
        <f>N42*(1+'&lt;서식5&gt;재원조달계획'!$I$19)</f>
        <v>#DIV/0!</v>
      </c>
      <c r="O43" s="226">
        <f t="shared" si="5"/>
        <v>0</v>
      </c>
      <c r="P43" s="233" t="e">
        <f t="shared" si="6"/>
        <v>#DIV/0!</v>
      </c>
      <c r="Q43" s="568"/>
      <c r="R43" s="662">
        <v>0</v>
      </c>
      <c r="S43" s="663"/>
      <c r="T43" s="664"/>
      <c r="U43" s="664"/>
      <c r="V43" s="664"/>
      <c r="W43" s="665">
        <f>AA42*'&lt;서식5&gt;재원조달계획'!$E$19</f>
        <v>0</v>
      </c>
      <c r="X43" s="667">
        <f>AB42*'&lt;서식5&gt;재원조달계획'!$E$20</f>
        <v>0</v>
      </c>
      <c r="Y43" s="667">
        <f>AC42*'&lt;서식5&gt;재원조달계획'!$E$21*8/12</f>
        <v>0</v>
      </c>
      <c r="Z43" s="667">
        <f>AD42*'&lt;서식5&gt;재원조달계획'!$E$22</f>
        <v>0</v>
      </c>
      <c r="AA43" s="665">
        <f t="shared" si="11"/>
        <v>0</v>
      </c>
      <c r="AB43" s="665">
        <f t="shared" si="12"/>
        <v>0</v>
      </c>
      <c r="AC43" s="665">
        <f t="shared" si="13"/>
        <v>0</v>
      </c>
      <c r="AD43" s="666">
        <f t="shared" si="14"/>
        <v>0</v>
      </c>
    </row>
    <row r="44" spans="1:30" ht="30" customHeight="1">
      <c r="A44" s="654"/>
      <c r="B44" s="855">
        <v>38</v>
      </c>
      <c r="C44" s="228">
        <f t="shared" si="10"/>
        <v>2056</v>
      </c>
      <c r="D44" s="232" t="e">
        <f t="shared" si="1"/>
        <v>#DIV/0!</v>
      </c>
      <c r="E44" s="166">
        <f t="shared" si="0"/>
        <v>0</v>
      </c>
      <c r="F44" s="222">
        <f t="shared" si="2"/>
        <v>0</v>
      </c>
      <c r="G44" s="166">
        <f t="shared" si="3"/>
        <v>0</v>
      </c>
      <c r="H44" s="218">
        <f t="shared" si="4"/>
        <v>0</v>
      </c>
      <c r="I44" s="166"/>
      <c r="J44" s="163"/>
      <c r="K44" s="163" t="e">
        <f t="shared" si="9"/>
        <v>#DIV/0!</v>
      </c>
      <c r="L44" s="226">
        <f>G44*'&lt;서식5&gt;재원조달계획'!$I$20</f>
        <v>0</v>
      </c>
      <c r="M44" s="226">
        <f>M43*(1+'&lt;서식5&gt;재원조달계획'!$I$19)</f>
        <v>0</v>
      </c>
      <c r="N44" s="226" t="e">
        <f>N43*(1+'&lt;서식5&gt;재원조달계획'!$I$19)</f>
        <v>#DIV/0!</v>
      </c>
      <c r="O44" s="226">
        <f t="shared" si="5"/>
        <v>0</v>
      </c>
      <c r="P44" s="233" t="e">
        <f t="shared" si="6"/>
        <v>#DIV/0!</v>
      </c>
      <c r="Q44" s="568"/>
      <c r="R44" s="662">
        <v>0.02</v>
      </c>
      <c r="S44" s="663"/>
      <c r="T44" s="664"/>
      <c r="U44" s="664"/>
      <c r="V44" s="664"/>
      <c r="W44" s="665">
        <f>AA43*'&lt;서식5&gt;재원조달계획'!$E$19</f>
        <v>0</v>
      </c>
      <c r="X44" s="667">
        <f>AB43*'&lt;서식5&gt;재원조달계획'!$E$20</f>
        <v>0</v>
      </c>
      <c r="Y44" s="667">
        <f>AC43*'&lt;서식5&gt;재원조달계획'!$E$21*8/12</f>
        <v>0</v>
      </c>
      <c r="Z44" s="667">
        <f>AD43*'&lt;서식5&gt;재원조달계획'!$E$22</f>
        <v>0</v>
      </c>
      <c r="AA44" s="665">
        <f t="shared" si="11"/>
        <v>0</v>
      </c>
      <c r="AB44" s="665">
        <f t="shared" si="12"/>
        <v>0</v>
      </c>
      <c r="AC44" s="665">
        <f t="shared" si="13"/>
        <v>0</v>
      </c>
      <c r="AD44" s="666">
        <f t="shared" si="14"/>
        <v>0</v>
      </c>
    </row>
    <row r="45" spans="1:30" ht="30" customHeight="1">
      <c r="A45" s="654"/>
      <c r="B45" s="855">
        <v>39</v>
      </c>
      <c r="C45" s="228">
        <f t="shared" si="10"/>
        <v>2057</v>
      </c>
      <c r="D45" s="232" t="e">
        <f t="shared" si="1"/>
        <v>#DIV/0!</v>
      </c>
      <c r="E45" s="166">
        <f t="shared" si="0"/>
        <v>0</v>
      </c>
      <c r="F45" s="222">
        <f t="shared" si="2"/>
        <v>0</v>
      </c>
      <c r="G45" s="166">
        <f t="shared" si="3"/>
        <v>0</v>
      </c>
      <c r="H45" s="218">
        <f t="shared" si="4"/>
        <v>0</v>
      </c>
      <c r="I45" s="166"/>
      <c r="J45" s="163"/>
      <c r="K45" s="163" t="e">
        <f t="shared" si="9"/>
        <v>#DIV/0!</v>
      </c>
      <c r="L45" s="226">
        <f>G45*'&lt;서식5&gt;재원조달계획'!$I$20</f>
        <v>0</v>
      </c>
      <c r="M45" s="226">
        <f>M44*(1+'&lt;서식5&gt;재원조달계획'!$I$19)</f>
        <v>0</v>
      </c>
      <c r="N45" s="226" t="e">
        <f>N44*(1+'&lt;서식5&gt;재원조달계획'!$I$19)</f>
        <v>#DIV/0!</v>
      </c>
      <c r="O45" s="226">
        <f t="shared" si="5"/>
        <v>0</v>
      </c>
      <c r="P45" s="233" t="e">
        <f t="shared" si="6"/>
        <v>#DIV/0!</v>
      </c>
      <c r="Q45" s="568"/>
      <c r="R45" s="662">
        <v>0</v>
      </c>
      <c r="S45" s="663"/>
      <c r="T45" s="664"/>
      <c r="U45" s="664"/>
      <c r="V45" s="664"/>
      <c r="W45" s="665">
        <f>AA44*'&lt;서식5&gt;재원조달계획'!$E$19</f>
        <v>0</v>
      </c>
      <c r="X45" s="667">
        <f>AB44*'&lt;서식5&gt;재원조달계획'!$E$20</f>
        <v>0</v>
      </c>
      <c r="Y45" s="667">
        <f>AC44*'&lt;서식5&gt;재원조달계획'!$E$21*8/12</f>
        <v>0</v>
      </c>
      <c r="Z45" s="667">
        <f>AD44*'&lt;서식5&gt;재원조달계획'!$E$22</f>
        <v>0</v>
      </c>
      <c r="AA45" s="665">
        <f t="shared" si="11"/>
        <v>0</v>
      </c>
      <c r="AB45" s="665">
        <f t="shared" si="12"/>
        <v>0</v>
      </c>
      <c r="AC45" s="665">
        <f t="shared" si="13"/>
        <v>0</v>
      </c>
      <c r="AD45" s="666">
        <f t="shared" si="14"/>
        <v>0</v>
      </c>
    </row>
    <row r="46" spans="1:30" ht="30" customHeight="1">
      <c r="A46" s="654"/>
      <c r="B46" s="856">
        <v>40</v>
      </c>
      <c r="C46" s="229">
        <f t="shared" si="10"/>
        <v>2058</v>
      </c>
      <c r="D46" s="232" t="e">
        <f t="shared" si="1"/>
        <v>#DIV/0!</v>
      </c>
      <c r="E46" s="225">
        <f t="shared" si="0"/>
        <v>0</v>
      </c>
      <c r="F46" s="203">
        <f t="shared" si="2"/>
        <v>0</v>
      </c>
      <c r="G46" s="225">
        <f t="shared" si="3"/>
        <v>0</v>
      </c>
      <c r="H46" s="231">
        <f t="shared" si="4"/>
        <v>0</v>
      </c>
      <c r="I46" s="859" t="e">
        <f>'&lt;서식6&gt;현금유입'!K46</f>
        <v>#DIV/0!</v>
      </c>
      <c r="J46" s="164"/>
      <c r="K46" s="163" t="e">
        <f t="shared" si="9"/>
        <v>#DIV/0!</v>
      </c>
      <c r="L46" s="227">
        <f>G46*'&lt;서식5&gt;재원조달계획'!$I$20</f>
        <v>0</v>
      </c>
      <c r="M46" s="227">
        <f>M45*(1+'&lt;서식5&gt;재원조달계획'!$I$19)</f>
        <v>0</v>
      </c>
      <c r="N46" s="226" t="e">
        <f>N45*(1+'&lt;서식5&gt;재원조달계획'!$I$19)</f>
        <v>#DIV/0!</v>
      </c>
      <c r="O46" s="227">
        <f t="shared" si="5"/>
        <v>0</v>
      </c>
      <c r="P46" s="233" t="e">
        <f t="shared" si="6"/>
        <v>#DIV/0!</v>
      </c>
      <c r="Q46" s="568"/>
      <c r="R46" s="668">
        <v>0.02</v>
      </c>
      <c r="S46" s="669"/>
      <c r="T46" s="670"/>
      <c r="U46" s="670"/>
      <c r="V46" s="670"/>
      <c r="W46" s="671">
        <f>AA45*'&lt;서식5&gt;재원조달계획'!$E$19</f>
        <v>0</v>
      </c>
      <c r="X46" s="672">
        <f>AB45*'&lt;서식5&gt;재원조달계획'!$E$20</f>
        <v>0</v>
      </c>
      <c r="Y46" s="672">
        <f>AC45*'&lt;서식5&gt;재원조달계획'!$E$21*8/12</f>
        <v>0</v>
      </c>
      <c r="Z46" s="672">
        <f>AD45*'&lt;서식5&gt;재원조달계획'!$E$22</f>
        <v>0</v>
      </c>
      <c r="AA46" s="671">
        <f t="shared" si="11"/>
        <v>0</v>
      </c>
      <c r="AB46" s="671">
        <f t="shared" si="12"/>
        <v>0</v>
      </c>
      <c r="AC46" s="671">
        <f t="shared" si="13"/>
        <v>0</v>
      </c>
      <c r="AD46" s="673">
        <f t="shared" si="14"/>
        <v>0</v>
      </c>
    </row>
    <row r="47" spans="1:30" ht="30" customHeight="1" thickBot="1">
      <c r="A47" s="654"/>
      <c r="B47" s="857"/>
      <c r="C47" s="230" t="s">
        <v>58</v>
      </c>
      <c r="D47" s="846" t="e">
        <f>SUM(D6:D46)</f>
        <v>#DIV/0!</v>
      </c>
      <c r="E47" s="858">
        <f>SUM(E6:E46)</f>
        <v>1197000000</v>
      </c>
      <c r="F47" s="858">
        <f>SUM(F6:F46)</f>
        <v>1197000000</v>
      </c>
      <c r="G47" s="165">
        <f>G46</f>
        <v>0</v>
      </c>
      <c r="H47" s="165">
        <f t="shared" ref="H47:P47" si="15">SUM(H6:H46)</f>
        <v>0</v>
      </c>
      <c r="I47" s="858" t="e">
        <f t="shared" si="15"/>
        <v>#DIV/0!</v>
      </c>
      <c r="J47" s="846" t="e">
        <f t="shared" si="15"/>
        <v>#DIV/0!</v>
      </c>
      <c r="K47" s="846" t="e">
        <f>SUM(K7:K46)</f>
        <v>#DIV/0!</v>
      </c>
      <c r="L47" s="846">
        <f t="shared" si="15"/>
        <v>0</v>
      </c>
      <c r="M47" s="846">
        <f t="shared" si="15"/>
        <v>0</v>
      </c>
      <c r="N47" s="846" t="e">
        <f t="shared" si="15"/>
        <v>#DIV/0!</v>
      </c>
      <c r="O47" s="846">
        <f t="shared" si="15"/>
        <v>111720000</v>
      </c>
      <c r="P47" s="853" t="e">
        <f t="shared" si="15"/>
        <v>#DIV/0!</v>
      </c>
      <c r="Q47" s="568"/>
      <c r="R47" s="674"/>
      <c r="S47" s="675">
        <f t="shared" ref="S47:Z47" si="16">SUM(S6:S46)</f>
        <v>1197000000</v>
      </c>
      <c r="T47" s="676">
        <f t="shared" si="16"/>
        <v>0</v>
      </c>
      <c r="U47" s="676">
        <f t="shared" si="16"/>
        <v>0</v>
      </c>
      <c r="V47" s="676">
        <f t="shared" si="16"/>
        <v>0</v>
      </c>
      <c r="W47" s="676">
        <f t="shared" si="16"/>
        <v>111720000</v>
      </c>
      <c r="X47" s="676">
        <f t="shared" si="16"/>
        <v>0</v>
      </c>
      <c r="Y47" s="676">
        <f t="shared" si="16"/>
        <v>0</v>
      </c>
      <c r="Z47" s="676">
        <f t="shared" si="16"/>
        <v>0</v>
      </c>
      <c r="AA47" s="676"/>
      <c r="AB47" s="676"/>
      <c r="AC47" s="676"/>
      <c r="AD47" s="677"/>
    </row>
    <row r="48" spans="1:30" ht="19.5" customHeight="1" thickBot="1">
      <c r="A48" s="276"/>
      <c r="B48" s="277"/>
      <c r="C48" s="277"/>
      <c r="D48" s="277"/>
      <c r="E48" s="277"/>
      <c r="F48" s="277"/>
      <c r="G48" s="678"/>
      <c r="H48" s="678"/>
      <c r="I48" s="277"/>
      <c r="J48" s="678"/>
      <c r="K48" s="678"/>
      <c r="L48" s="277"/>
      <c r="M48" s="277"/>
      <c r="N48" s="277"/>
      <c r="O48" s="277"/>
      <c r="P48" s="277"/>
      <c r="Q48" s="278"/>
    </row>
    <row r="49" spans="1:18" ht="21.75" customHeight="1">
      <c r="A49" s="679"/>
      <c r="B49" s="679"/>
      <c r="C49" s="679"/>
      <c r="D49" s="679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79"/>
      <c r="P49" s="679"/>
      <c r="Q49" s="679"/>
    </row>
    <row r="50" spans="1:18" ht="21.75" customHeight="1">
      <c r="A50" s="679"/>
      <c r="B50" s="679"/>
      <c r="C50" s="679"/>
      <c r="D50" s="679"/>
      <c r="E50" s="679"/>
      <c r="F50" s="679"/>
      <c r="G50" s="680"/>
      <c r="H50" s="680"/>
      <c r="L50" s="679"/>
      <c r="M50" s="679"/>
      <c r="N50" s="679"/>
      <c r="O50" s="679"/>
      <c r="P50" s="679"/>
      <c r="Q50" s="679"/>
    </row>
    <row r="51" spans="1:18" ht="21.75" customHeight="1">
      <c r="A51" s="679"/>
      <c r="B51" s="679"/>
      <c r="C51" s="679"/>
      <c r="D51" s="679"/>
      <c r="E51" s="679"/>
      <c r="F51" s="679"/>
      <c r="G51" s="679"/>
      <c r="H51" s="679"/>
      <c r="I51" s="679"/>
      <c r="J51" s="679"/>
      <c r="K51" s="679"/>
      <c r="L51" s="679"/>
      <c r="M51" s="679"/>
      <c r="N51" s="679"/>
      <c r="O51" s="679"/>
      <c r="P51" s="679"/>
      <c r="Q51" s="679"/>
      <c r="R51" s="571"/>
    </row>
    <row r="52" spans="1:18" ht="21.75" customHeight="1"/>
    <row r="53" spans="1:18" ht="21.75" customHeight="1"/>
    <row r="54" spans="1:18" ht="21.75" customHeight="1"/>
    <row r="56" spans="1:18">
      <c r="G56" s="681"/>
      <c r="H56" s="681"/>
      <c r="J56" s="869"/>
      <c r="K56" s="681"/>
    </row>
    <row r="102" spans="18:18">
      <c r="R102" s="588"/>
    </row>
    <row r="103" spans="18:18">
      <c r="R103" s="602"/>
    </row>
    <row r="104" spans="18:18">
      <c r="R104" s="602"/>
    </row>
    <row r="108" spans="18:18">
      <c r="R108" s="571"/>
    </row>
    <row r="109" spans="18:18">
      <c r="R109" s="571"/>
    </row>
    <row r="164" spans="18:18">
      <c r="R164" s="609"/>
    </row>
    <row r="165" spans="18:18">
      <c r="R165" s="621"/>
    </row>
    <row r="166" spans="18:18">
      <c r="R166" s="548"/>
    </row>
  </sheetData>
  <mergeCells count="6">
    <mergeCell ref="B4:B5"/>
    <mergeCell ref="D4:D5"/>
    <mergeCell ref="R4:R5"/>
    <mergeCell ref="C4:C5"/>
    <mergeCell ref="H4:P4"/>
    <mergeCell ref="E4:F4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horizontalDpi="300" verticalDpi="300" r:id="rId1"/>
  <ignoredErrors>
    <ignoredError sqref="E23:E4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view="pageBreakPreview" zoomScale="55" zoomScaleSheetLayoutView="55" zoomScalePage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52" sqref="I52"/>
    </sheetView>
  </sheetViews>
  <sheetFormatPr defaultColWidth="8.69921875" defaultRowHeight="14.4"/>
  <cols>
    <col min="1" max="1" width="2.796875" style="204" customWidth="1"/>
    <col min="2" max="2" width="5.19921875" style="204" customWidth="1"/>
    <col min="3" max="3" width="16" style="204" customWidth="1"/>
    <col min="4" max="4" width="15.3984375" style="204" customWidth="1"/>
    <col min="5" max="5" width="21.8984375" style="204" customWidth="1"/>
    <col min="6" max="7" width="14" style="204" customWidth="1"/>
    <col min="8" max="8" width="16.3984375" style="204" customWidth="1"/>
    <col min="9" max="9" width="15.8984375" style="204" customWidth="1"/>
    <col min="10" max="10" width="15.3984375" style="204" customWidth="1"/>
    <col min="11" max="13" width="15" style="204" customWidth="1"/>
    <col min="14" max="14" width="2.796875" style="204" customWidth="1"/>
    <col min="15" max="15" width="15" style="204" customWidth="1"/>
    <col min="16" max="16" width="15" style="204" bestFit="1" customWidth="1"/>
    <col min="17" max="17" width="13" style="204" customWidth="1"/>
    <col min="18" max="18" width="2.796875" style="204" customWidth="1"/>
    <col min="19" max="19" width="8.69921875" style="204"/>
    <col min="20" max="20" width="12.3984375" style="204" bestFit="1" customWidth="1"/>
    <col min="21" max="16384" width="8.69921875" style="204"/>
  </cols>
  <sheetData>
    <row r="1" spans="1:19" s="239" customFormat="1" ht="18.75" customHeight="1" thickBot="1"/>
    <row r="2" spans="1:19" s="239" customFormat="1" ht="44.25" customHeight="1" thickBot="1">
      <c r="A2" s="240"/>
      <c r="B2" s="236" t="s">
        <v>113</v>
      </c>
      <c r="C2" s="236"/>
      <c r="D2" s="236"/>
      <c r="E2" s="236"/>
      <c r="F2" s="236"/>
      <c r="G2" s="241"/>
      <c r="H2" s="241"/>
      <c r="I2" s="241"/>
      <c r="J2" s="241"/>
      <c r="K2" s="241"/>
      <c r="L2" s="241"/>
      <c r="M2" s="241"/>
      <c r="N2" s="242"/>
      <c r="O2" s="204"/>
      <c r="P2" s="204"/>
      <c r="Q2" s="204"/>
      <c r="R2" s="204"/>
      <c r="S2" s="204"/>
    </row>
    <row r="3" spans="1:19" s="246" customFormat="1" ht="19.5" customHeight="1" thickBot="1">
      <c r="A3" s="243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204"/>
      <c r="P3" s="204"/>
      <c r="Q3" s="204"/>
      <c r="R3" s="204"/>
      <c r="S3" s="204"/>
    </row>
    <row r="4" spans="1:19" s="239" customFormat="1" ht="30" customHeight="1">
      <c r="A4" s="247"/>
      <c r="B4" s="1237" t="s">
        <v>174</v>
      </c>
      <c r="C4" s="1241" t="s">
        <v>172</v>
      </c>
      <c r="D4" s="1242"/>
      <c r="E4" s="1242"/>
      <c r="F4" s="1242"/>
      <c r="G4" s="1243"/>
      <c r="H4" s="1244" t="s">
        <v>170</v>
      </c>
      <c r="I4" s="1245"/>
      <c r="J4" s="1245"/>
      <c r="K4" s="1246"/>
      <c r="L4" s="1239" t="s">
        <v>230</v>
      </c>
      <c r="M4" s="1235" t="s">
        <v>231</v>
      </c>
      <c r="N4" s="248"/>
      <c r="O4" s="204"/>
      <c r="P4" s="204"/>
      <c r="Q4" s="204"/>
      <c r="R4" s="204"/>
      <c r="S4" s="204"/>
    </row>
    <row r="5" spans="1:19" s="239" customFormat="1" ht="30" customHeight="1">
      <c r="A5" s="247"/>
      <c r="B5" s="1238"/>
      <c r="C5" s="256" t="s">
        <v>276</v>
      </c>
      <c r="D5" s="256" t="s">
        <v>277</v>
      </c>
      <c r="E5" s="257" t="s">
        <v>278</v>
      </c>
      <c r="F5" s="331" t="s">
        <v>173</v>
      </c>
      <c r="G5" s="946" t="s">
        <v>381</v>
      </c>
      <c r="H5" s="331" t="s">
        <v>171</v>
      </c>
      <c r="I5" s="331" t="s">
        <v>175</v>
      </c>
      <c r="J5" s="331" t="s">
        <v>273</v>
      </c>
      <c r="K5" s="331" t="s">
        <v>229</v>
      </c>
      <c r="L5" s="1240"/>
      <c r="M5" s="1236"/>
      <c r="N5" s="248"/>
    </row>
    <row r="6" spans="1:19" ht="29.25" customHeight="1">
      <c r="A6" s="206"/>
      <c r="B6" s="253">
        <v>0</v>
      </c>
      <c r="C6" s="254">
        <f>'&lt;서식6&gt;현금유입'!O6</f>
        <v>0</v>
      </c>
      <c r="D6" s="254" t="e">
        <f>'&lt;서식7&gt;현금유출'!P6</f>
        <v>#DIV/0!</v>
      </c>
      <c r="E6" s="255" t="e">
        <f>C6-D6</f>
        <v>#DIV/0!</v>
      </c>
      <c r="F6" s="264" t="e">
        <f>E6</f>
        <v>#DIV/0!</v>
      </c>
      <c r="G6" s="496" t="e">
        <f>E6+'&lt;서식7&gt;현금유출'!M6+'&lt;서식7&gt;현금유출'!N6+'&lt;서식7&gt;현금유출'!K6</f>
        <v>#DIV/0!</v>
      </c>
      <c r="H6" s="255">
        <f>'&lt;서식6&gt;현금유입'!D6</f>
        <v>1330000000</v>
      </c>
      <c r="I6" s="255" t="e">
        <f>'&lt;서식7&gt;현금유출'!D6</f>
        <v>#DIV/0!</v>
      </c>
      <c r="J6" s="255" t="e">
        <f>H6-I6</f>
        <v>#DIV/0!</v>
      </c>
      <c r="K6" s="264" t="e">
        <f>J6</f>
        <v>#DIV/0!</v>
      </c>
      <c r="L6" s="255">
        <f>SUM('&lt;서식7&gt;현금유출'!AA6:AD6)+'&lt;서식6&gt;현금유입'!K6-'&lt;서식7&gt;현금유출'!I6</f>
        <v>1197000000</v>
      </c>
      <c r="M6" s="260" t="e">
        <f>K6/L6</f>
        <v>#DIV/0!</v>
      </c>
      <c r="N6" s="207"/>
      <c r="O6" s="517">
        <f>C6/(1+'&lt;서식5&gt;재원조달계획'!$I$22)^'&lt;서식8&gt;현금흐름분석'!B6</f>
        <v>0</v>
      </c>
      <c r="P6" s="517" t="e">
        <f>D6/(1+'&lt;서식5&gt;재원조달계획'!$I$22)^'&lt;서식8&gt;현금흐름분석'!B6</f>
        <v>#DIV/0!</v>
      </c>
    </row>
    <row r="7" spans="1:19" ht="29.25" customHeight="1">
      <c r="A7" s="206"/>
      <c r="B7" s="160">
        <v>1</v>
      </c>
      <c r="C7" s="208">
        <f>'&lt;서식6&gt;현금유입'!O7</f>
        <v>12000000</v>
      </c>
      <c r="D7" s="208" t="e">
        <f>'&lt;서식7&gt;현금유출'!P7</f>
        <v>#DIV/0!</v>
      </c>
      <c r="E7" s="162" t="e">
        <f t="shared" ref="E7:E45" si="0">C7-D7</f>
        <v>#DIV/0!</v>
      </c>
      <c r="F7" s="497" t="e">
        <f t="shared" ref="F7:F46" si="1">F6+E7</f>
        <v>#DIV/0!</v>
      </c>
      <c r="G7" s="496" t="e">
        <f>E7+'&lt;서식7&gt;현금유출'!M7+'&lt;서식7&gt;현금유출'!N7+'&lt;서식7&gt;현금유출'!K7</f>
        <v>#DIV/0!</v>
      </c>
      <c r="H7" s="161" t="e">
        <f>'&lt;서식6&gt;현금유입'!D7</f>
        <v>#DIV/0!</v>
      </c>
      <c r="I7" s="161" t="e">
        <f>'&lt;서식7&gt;현금유출'!D7</f>
        <v>#DIV/0!</v>
      </c>
      <c r="J7" s="161" t="e">
        <f t="shared" ref="J7:J46" si="2">H7-I7</f>
        <v>#DIV/0!</v>
      </c>
      <c r="K7" s="265" t="e">
        <f>K6+J7</f>
        <v>#DIV/0!</v>
      </c>
      <c r="L7" s="161" t="e">
        <f>SUM('&lt;서식7&gt;현금유출'!AA7:AD7)+'&lt;서식6&gt;현금유입'!K7-'&lt;서식7&gt;현금유출'!I7</f>
        <v>#DIV/0!</v>
      </c>
      <c r="M7" s="261" t="e">
        <f t="shared" ref="M7:M45" si="3">K7/L7</f>
        <v>#DIV/0!</v>
      </c>
      <c r="N7" s="209"/>
      <c r="O7" s="517">
        <f>C7/(1+'&lt;서식5&gt;재원조달계획'!$I$22)^'&lt;서식8&gt;현금흐름분석'!B7</f>
        <v>11822660.09852217</v>
      </c>
      <c r="P7" s="517" t="e">
        <f>D7/(1+'&lt;서식5&gt;재원조달계획'!$I$22)^'&lt;서식8&gt;현금흐름분석'!B7</f>
        <v>#DIV/0!</v>
      </c>
    </row>
    <row r="8" spans="1:19" ht="29.25" customHeight="1">
      <c r="A8" s="206"/>
      <c r="B8" s="160">
        <v>2</v>
      </c>
      <c r="C8" s="208">
        <f>'&lt;서식6&gt;현금유입'!O8</f>
        <v>18000000</v>
      </c>
      <c r="D8" s="208" t="e">
        <f>'&lt;서식7&gt;현금유출'!P8</f>
        <v>#DIV/0!</v>
      </c>
      <c r="E8" s="162" t="e">
        <f t="shared" si="0"/>
        <v>#DIV/0!</v>
      </c>
      <c r="F8" s="497" t="e">
        <f t="shared" si="1"/>
        <v>#DIV/0!</v>
      </c>
      <c r="G8" s="496" t="e">
        <f>E8+'&lt;서식7&gt;현금유출'!M8+'&lt;서식7&gt;현금유출'!N8+'&lt;서식7&gt;현금유출'!K8</f>
        <v>#DIV/0!</v>
      </c>
      <c r="H8" s="161" t="e">
        <f>'&lt;서식6&gt;현금유입'!D8</f>
        <v>#DIV/0!</v>
      </c>
      <c r="I8" s="161" t="e">
        <f>'&lt;서식7&gt;현금유출'!D8</f>
        <v>#DIV/0!</v>
      </c>
      <c r="J8" s="161" t="e">
        <f t="shared" si="2"/>
        <v>#DIV/0!</v>
      </c>
      <c r="K8" s="265" t="e">
        <f t="shared" ref="K8:K46" si="4">K7+J8</f>
        <v>#DIV/0!</v>
      </c>
      <c r="L8" s="161" t="e">
        <f>SUM('&lt;서식7&gt;현금유출'!AA8:AD8)+'&lt;서식6&gt;현금유입'!K8-'&lt;서식7&gt;현금유출'!I8</f>
        <v>#DIV/0!</v>
      </c>
      <c r="M8" s="261" t="e">
        <f t="shared" si="3"/>
        <v>#DIV/0!</v>
      </c>
      <c r="N8" s="210"/>
      <c r="O8" s="517">
        <f>C8/(1+'&lt;서식5&gt;재원조달계획'!$I$22)^'&lt;서식8&gt;현금흐름분석'!B8</f>
        <v>17471911.47564853</v>
      </c>
      <c r="P8" s="517" t="e">
        <f>D8/(1+'&lt;서식5&gt;재원조달계획'!$I$22)^'&lt;서식8&gt;현금흐름분석'!B8</f>
        <v>#DIV/0!</v>
      </c>
    </row>
    <row r="9" spans="1:19" ht="29.25" customHeight="1">
      <c r="A9" s="206"/>
      <c r="B9" s="160">
        <v>3</v>
      </c>
      <c r="C9" s="208">
        <f>'&lt;서식6&gt;현금유입'!O9</f>
        <v>18180000</v>
      </c>
      <c r="D9" s="208" t="e">
        <f>'&lt;서식7&gt;현금유출'!P9</f>
        <v>#DIV/0!</v>
      </c>
      <c r="E9" s="162" t="e">
        <f t="shared" si="0"/>
        <v>#DIV/0!</v>
      </c>
      <c r="F9" s="497" t="e">
        <f t="shared" si="1"/>
        <v>#DIV/0!</v>
      </c>
      <c r="G9" s="496" t="e">
        <f>E9+'&lt;서식7&gt;현금유출'!M9+'&lt;서식7&gt;현금유출'!N9+'&lt;서식7&gt;현금유출'!K9</f>
        <v>#DIV/0!</v>
      </c>
      <c r="H9" s="161" t="e">
        <f>'&lt;서식6&gt;현금유입'!D9</f>
        <v>#DIV/0!</v>
      </c>
      <c r="I9" s="161" t="e">
        <f>'&lt;서식7&gt;현금유출'!D9</f>
        <v>#DIV/0!</v>
      </c>
      <c r="J9" s="161" t="e">
        <f t="shared" si="2"/>
        <v>#DIV/0!</v>
      </c>
      <c r="K9" s="265" t="e">
        <f t="shared" si="4"/>
        <v>#DIV/0!</v>
      </c>
      <c r="L9" s="161" t="e">
        <f>SUM('&lt;서식7&gt;현금유출'!AA9:AD9)+'&lt;서식6&gt;현금유입'!K9-'&lt;서식7&gt;현금유출'!I9</f>
        <v>#DIV/0!</v>
      </c>
      <c r="M9" s="261" t="e">
        <f t="shared" si="3"/>
        <v>#DIV/0!</v>
      </c>
      <c r="N9" s="210"/>
      <c r="O9" s="517">
        <f>C9/(1+'&lt;서식5&gt;재원조달계획'!$I$22)^'&lt;서식8&gt;현금흐름분석'!B9</f>
        <v>17385842.946211837</v>
      </c>
      <c r="P9" s="517" t="e">
        <f>D9/(1+'&lt;서식5&gt;재원조달계획'!$I$22)^'&lt;서식8&gt;현금흐름분석'!B9</f>
        <v>#DIV/0!</v>
      </c>
    </row>
    <row r="10" spans="1:19" ht="29.25" customHeight="1">
      <c r="A10" s="206"/>
      <c r="B10" s="160">
        <v>4</v>
      </c>
      <c r="C10" s="208">
        <f>'&lt;서식6&gt;현금유입'!O10</f>
        <v>18180000</v>
      </c>
      <c r="D10" s="208" t="e">
        <f>'&lt;서식7&gt;현금유출'!P10</f>
        <v>#DIV/0!</v>
      </c>
      <c r="E10" s="162" t="e">
        <f t="shared" si="0"/>
        <v>#DIV/0!</v>
      </c>
      <c r="F10" s="497" t="e">
        <f t="shared" si="1"/>
        <v>#DIV/0!</v>
      </c>
      <c r="G10" s="496" t="e">
        <f>E10+'&lt;서식7&gt;현금유출'!M10+'&lt;서식7&gt;현금유출'!N10+'&lt;서식7&gt;현금유출'!K10</f>
        <v>#DIV/0!</v>
      </c>
      <c r="H10" s="161" t="e">
        <f>'&lt;서식6&gt;현금유입'!D10</f>
        <v>#DIV/0!</v>
      </c>
      <c r="I10" s="161" t="e">
        <f>'&lt;서식7&gt;현금유출'!D10</f>
        <v>#DIV/0!</v>
      </c>
      <c r="J10" s="161" t="e">
        <f t="shared" si="2"/>
        <v>#DIV/0!</v>
      </c>
      <c r="K10" s="265" t="e">
        <f t="shared" si="4"/>
        <v>#DIV/0!</v>
      </c>
      <c r="L10" s="161" t="e">
        <f>SUM('&lt;서식7&gt;현금유출'!AA10:AD10)+'&lt;서식6&gt;현금유입'!K10-'&lt;서식7&gt;현금유출'!I10</f>
        <v>#DIV/0!</v>
      </c>
      <c r="M10" s="261" t="e">
        <f t="shared" si="3"/>
        <v>#DIV/0!</v>
      </c>
      <c r="N10" s="207"/>
      <c r="O10" s="517">
        <f>C10/(1+'&lt;서식5&gt;재원조달계획'!$I$22)^'&lt;서식8&gt;현금흐름분석'!B10</f>
        <v>17128909.306612652</v>
      </c>
      <c r="P10" s="517" t="e">
        <f>D10/(1+'&lt;서식5&gt;재원조달계획'!$I$22)^'&lt;서식8&gt;현금흐름분석'!B10</f>
        <v>#DIV/0!</v>
      </c>
    </row>
    <row r="11" spans="1:19" ht="29.25" customHeight="1">
      <c r="A11" s="206"/>
      <c r="B11" s="160">
        <v>5</v>
      </c>
      <c r="C11" s="208">
        <f>'&lt;서식6&gt;현금유입'!O11</f>
        <v>18361800</v>
      </c>
      <c r="D11" s="208" t="e">
        <f>'&lt;서식7&gt;현금유출'!P11</f>
        <v>#DIV/0!</v>
      </c>
      <c r="E11" s="162" t="e">
        <f t="shared" si="0"/>
        <v>#DIV/0!</v>
      </c>
      <c r="F11" s="497" t="e">
        <f t="shared" si="1"/>
        <v>#DIV/0!</v>
      </c>
      <c r="G11" s="496" t="e">
        <f>E11+'&lt;서식7&gt;현금유출'!M11+'&lt;서식7&gt;현금유출'!N11+'&lt;서식7&gt;현금유출'!K11</f>
        <v>#DIV/0!</v>
      </c>
      <c r="H11" s="161" t="e">
        <f>'&lt;서식6&gt;현금유입'!D11</f>
        <v>#DIV/0!</v>
      </c>
      <c r="I11" s="161" t="e">
        <f>'&lt;서식7&gt;현금유출'!D11</f>
        <v>#DIV/0!</v>
      </c>
      <c r="J11" s="161" t="e">
        <f t="shared" si="2"/>
        <v>#DIV/0!</v>
      </c>
      <c r="K11" s="265" t="e">
        <f t="shared" si="4"/>
        <v>#DIV/0!</v>
      </c>
      <c r="L11" s="161" t="e">
        <f>SUM('&lt;서식7&gt;현금유출'!AA11:AD11)+'&lt;서식6&gt;현금유입'!K11-'&lt;서식7&gt;현금유출'!I11</f>
        <v>#DIV/0!</v>
      </c>
      <c r="M11" s="261" t="e">
        <f t="shared" si="3"/>
        <v>#DIV/0!</v>
      </c>
      <c r="N11" s="207"/>
      <c r="O11" s="517">
        <f>C11/(1+'&lt;서식5&gt;재원조달계획'!$I$22)^'&lt;서식8&gt;현금흐름분석'!B11</f>
        <v>17044530.443033282</v>
      </c>
      <c r="P11" s="517" t="e">
        <f>D11/(1+'&lt;서식5&gt;재원조달계획'!$I$22)^'&lt;서식8&gt;현금흐름분석'!B11</f>
        <v>#DIV/0!</v>
      </c>
    </row>
    <row r="12" spans="1:19" ht="29.25" customHeight="1">
      <c r="A12" s="206"/>
      <c r="B12" s="160">
        <v>6</v>
      </c>
      <c r="C12" s="208">
        <f>'&lt;서식6&gt;현금유입'!O12</f>
        <v>18361800</v>
      </c>
      <c r="D12" s="208" t="e">
        <f>'&lt;서식7&gt;현금유출'!P12</f>
        <v>#DIV/0!</v>
      </c>
      <c r="E12" s="162" t="e">
        <f t="shared" si="0"/>
        <v>#DIV/0!</v>
      </c>
      <c r="F12" s="497" t="e">
        <f t="shared" si="1"/>
        <v>#DIV/0!</v>
      </c>
      <c r="G12" s="496" t="e">
        <f>E12+'&lt;서식7&gt;현금유출'!M12+'&lt;서식7&gt;현금유출'!N12+'&lt;서식7&gt;현금유출'!K12</f>
        <v>#DIV/0!</v>
      </c>
      <c r="H12" s="161" t="e">
        <f>'&lt;서식6&gt;현금유입'!D12</f>
        <v>#DIV/0!</v>
      </c>
      <c r="I12" s="161" t="e">
        <f>'&lt;서식7&gt;현금유출'!D12</f>
        <v>#DIV/0!</v>
      </c>
      <c r="J12" s="161" t="e">
        <f t="shared" si="2"/>
        <v>#DIV/0!</v>
      </c>
      <c r="K12" s="265" t="e">
        <f t="shared" si="4"/>
        <v>#DIV/0!</v>
      </c>
      <c r="L12" s="161" t="e">
        <f>SUM('&lt;서식7&gt;현금유출'!AA12:AD12)+'&lt;서식6&gt;현금유입'!K12-'&lt;서식7&gt;현금유출'!I12</f>
        <v>#DIV/0!</v>
      </c>
      <c r="M12" s="261" t="e">
        <f t="shared" si="3"/>
        <v>#DIV/0!</v>
      </c>
      <c r="N12" s="207"/>
      <c r="O12" s="517">
        <f>C12/(1+'&lt;서식5&gt;재원조달계획'!$I$22)^'&lt;서식8&gt;현금흐름분석'!B12</f>
        <v>16792640.830574665</v>
      </c>
      <c r="P12" s="517" t="e">
        <f>D12/(1+'&lt;서식5&gt;재원조달계획'!$I$22)^'&lt;서식8&gt;현금흐름분석'!B12</f>
        <v>#DIV/0!</v>
      </c>
    </row>
    <row r="13" spans="1:19" ht="29.25" customHeight="1">
      <c r="A13" s="206"/>
      <c r="B13" s="160">
        <v>7</v>
      </c>
      <c r="C13" s="208">
        <f>'&lt;서식6&gt;현금유입'!O13</f>
        <v>18729036</v>
      </c>
      <c r="D13" s="208" t="e">
        <f>'&lt;서식7&gt;현금유출'!P13</f>
        <v>#DIV/0!</v>
      </c>
      <c r="E13" s="162" t="e">
        <f t="shared" si="0"/>
        <v>#DIV/0!</v>
      </c>
      <c r="F13" s="497" t="e">
        <f t="shared" si="1"/>
        <v>#DIV/0!</v>
      </c>
      <c r="G13" s="496" t="e">
        <f>E13+'&lt;서식7&gt;현금유출'!M13+'&lt;서식7&gt;현금유출'!N13+'&lt;서식7&gt;현금유출'!K13</f>
        <v>#DIV/0!</v>
      </c>
      <c r="H13" s="161" t="e">
        <f>'&lt;서식6&gt;현금유입'!D13</f>
        <v>#DIV/0!</v>
      </c>
      <c r="I13" s="161" t="e">
        <f>'&lt;서식7&gt;현금유출'!D13</f>
        <v>#DIV/0!</v>
      </c>
      <c r="J13" s="161" t="e">
        <f t="shared" si="2"/>
        <v>#DIV/0!</v>
      </c>
      <c r="K13" s="265" t="e">
        <f t="shared" si="4"/>
        <v>#DIV/0!</v>
      </c>
      <c r="L13" s="161" t="e">
        <f>SUM('&lt;서식7&gt;현금유출'!AA13:AD13)+'&lt;서식6&gt;현금유입'!K13-'&lt;서식7&gt;현금유출'!I13</f>
        <v>#DIV/0!</v>
      </c>
      <c r="M13" s="261" t="e">
        <f t="shared" si="3"/>
        <v>#DIV/0!</v>
      </c>
      <c r="N13" s="211"/>
      <c r="O13" s="517">
        <f>C13/(1+'&lt;서식5&gt;재원조달계획'!$I$22)^'&lt;서식8&gt;현금흐름분석'!B13</f>
        <v>16875363.199198186</v>
      </c>
      <c r="P13" s="517" t="e">
        <f>D13/(1+'&lt;서식5&gt;재원조달계획'!$I$22)^'&lt;서식8&gt;현금흐름분석'!B13</f>
        <v>#DIV/0!</v>
      </c>
    </row>
    <row r="14" spans="1:19" ht="29.25" customHeight="1">
      <c r="A14" s="206"/>
      <c r="B14" s="160">
        <v>8</v>
      </c>
      <c r="C14" s="208">
        <f>'&lt;서식6&gt;현금유입'!O14</f>
        <v>18729036</v>
      </c>
      <c r="D14" s="208" t="e">
        <f>'&lt;서식7&gt;현금유출'!P14</f>
        <v>#DIV/0!</v>
      </c>
      <c r="E14" s="162" t="e">
        <f t="shared" si="0"/>
        <v>#DIV/0!</v>
      </c>
      <c r="F14" s="497" t="e">
        <f t="shared" si="1"/>
        <v>#DIV/0!</v>
      </c>
      <c r="G14" s="496" t="e">
        <f>E14+'&lt;서식7&gt;현금유출'!M14+'&lt;서식7&gt;현금유출'!N14+'&lt;서식7&gt;현금유출'!K14</f>
        <v>#DIV/0!</v>
      </c>
      <c r="H14" s="161" t="e">
        <f>'&lt;서식6&gt;현금유입'!D14</f>
        <v>#DIV/0!</v>
      </c>
      <c r="I14" s="161" t="e">
        <f>'&lt;서식7&gt;현금유출'!D14</f>
        <v>#DIV/0!</v>
      </c>
      <c r="J14" s="161" t="e">
        <f t="shared" si="2"/>
        <v>#DIV/0!</v>
      </c>
      <c r="K14" s="265" t="e">
        <f t="shared" si="4"/>
        <v>#DIV/0!</v>
      </c>
      <c r="L14" s="161" t="e">
        <f>SUM('&lt;서식7&gt;현금유출'!AA14:AD14)+'&lt;서식6&gt;현금유입'!K14-'&lt;서식7&gt;현금유출'!I14</f>
        <v>#DIV/0!</v>
      </c>
      <c r="M14" s="261" t="e">
        <f t="shared" si="3"/>
        <v>#DIV/0!</v>
      </c>
      <c r="N14" s="211"/>
      <c r="O14" s="517">
        <f>C14/(1+'&lt;서식5&gt;재원조달계획'!$I$22)^'&lt;서식8&gt;현금흐름분석'!B14</f>
        <v>16625973.595269151</v>
      </c>
      <c r="P14" s="517" t="e">
        <f>D14/(1+'&lt;서식5&gt;재원조달계획'!$I$22)^'&lt;서식8&gt;현금흐름분석'!B14</f>
        <v>#DIV/0!</v>
      </c>
    </row>
    <row r="15" spans="1:19" ht="29.25" customHeight="1">
      <c r="A15" s="206"/>
      <c r="B15" s="160">
        <v>9</v>
      </c>
      <c r="C15" s="208">
        <f>'&lt;서식6&gt;현금유입'!O15</f>
        <v>19103616.719999999</v>
      </c>
      <c r="D15" s="208" t="e">
        <f>'&lt;서식7&gt;현금유출'!P15</f>
        <v>#DIV/0!</v>
      </c>
      <c r="E15" s="162" t="e">
        <f t="shared" si="0"/>
        <v>#DIV/0!</v>
      </c>
      <c r="F15" s="497" t="e">
        <f t="shared" si="1"/>
        <v>#DIV/0!</v>
      </c>
      <c r="G15" s="496" t="e">
        <f>E15+'&lt;서식7&gt;현금유출'!M15+'&lt;서식7&gt;현금유출'!N15+'&lt;서식7&gt;현금유출'!K15</f>
        <v>#DIV/0!</v>
      </c>
      <c r="H15" s="161" t="e">
        <f>'&lt;서식6&gt;현금유입'!D15</f>
        <v>#DIV/0!</v>
      </c>
      <c r="I15" s="161" t="e">
        <f>'&lt;서식7&gt;현금유출'!D15</f>
        <v>#DIV/0!</v>
      </c>
      <c r="J15" s="161" t="e">
        <f t="shared" si="2"/>
        <v>#DIV/0!</v>
      </c>
      <c r="K15" s="265" t="e">
        <f t="shared" si="4"/>
        <v>#DIV/0!</v>
      </c>
      <c r="L15" s="161" t="e">
        <f>SUM('&lt;서식7&gt;현금유출'!AA15:AD15)+'&lt;서식6&gt;현금유입'!K15-'&lt;서식7&gt;현금유출'!I15</f>
        <v>#DIV/0!</v>
      </c>
      <c r="M15" s="261" t="e">
        <f t="shared" si="3"/>
        <v>#DIV/0!</v>
      </c>
      <c r="N15" s="212"/>
      <c r="O15" s="517">
        <f>C15/(1+'&lt;서식5&gt;재원조달계획'!$I$22)^'&lt;서식8&gt;현금흐름분석'!B15</f>
        <v>16707874.943029098</v>
      </c>
      <c r="P15" s="517" t="e">
        <f>D15/(1+'&lt;서식5&gt;재원조달계획'!$I$22)^'&lt;서식8&gt;현금흐름분석'!B15</f>
        <v>#DIV/0!</v>
      </c>
    </row>
    <row r="16" spans="1:19" ht="29.25" customHeight="1">
      <c r="A16" s="206"/>
      <c r="B16" s="160">
        <v>10</v>
      </c>
      <c r="C16" s="208">
        <f>'&lt;서식6&gt;현금유입'!O16</f>
        <v>19103616.719999999</v>
      </c>
      <c r="D16" s="208" t="e">
        <f>'&lt;서식7&gt;현금유출'!P16</f>
        <v>#DIV/0!</v>
      </c>
      <c r="E16" s="162" t="e">
        <f t="shared" si="0"/>
        <v>#DIV/0!</v>
      </c>
      <c r="F16" s="497" t="e">
        <f t="shared" si="1"/>
        <v>#DIV/0!</v>
      </c>
      <c r="G16" s="496" t="e">
        <f>E16+'&lt;서식7&gt;현금유출'!M16+'&lt;서식7&gt;현금유출'!N16+'&lt;서식7&gt;현금유출'!K16</f>
        <v>#DIV/0!</v>
      </c>
      <c r="H16" s="161" t="e">
        <f>'&lt;서식6&gt;현금유입'!D16</f>
        <v>#DIV/0!</v>
      </c>
      <c r="I16" s="161" t="e">
        <f>'&lt;서식7&gt;현금유출'!D16</f>
        <v>#DIV/0!</v>
      </c>
      <c r="J16" s="161" t="e">
        <f t="shared" si="2"/>
        <v>#DIV/0!</v>
      </c>
      <c r="K16" s="265" t="e">
        <f t="shared" si="4"/>
        <v>#DIV/0!</v>
      </c>
      <c r="L16" s="161" t="e">
        <f>SUM('&lt;서식7&gt;현금유출'!AA16:AD16)+'&lt;서식6&gt;현금유입'!K16-'&lt;서식7&gt;현금유출'!I16</f>
        <v>#DIV/0!</v>
      </c>
      <c r="M16" s="261" t="e">
        <f t="shared" si="3"/>
        <v>#DIV/0!</v>
      </c>
      <c r="N16" s="212"/>
      <c r="O16" s="517">
        <f>C16/(1+'&lt;서식5&gt;재원조달계획'!$I$22)^'&lt;서식8&gt;현금흐름분석'!B16</f>
        <v>16460960.53500404</v>
      </c>
      <c r="P16" s="517" t="e">
        <f>D16/(1+'&lt;서식5&gt;재원조달계획'!$I$22)^'&lt;서식8&gt;현금흐름분석'!B16</f>
        <v>#DIV/0!</v>
      </c>
    </row>
    <row r="17" spans="1:16" ht="29.25" customHeight="1">
      <c r="A17" s="206"/>
      <c r="B17" s="160">
        <v>11</v>
      </c>
      <c r="C17" s="208">
        <f>'&lt;서식6&gt;현금유입'!O17</f>
        <v>19676725.2216</v>
      </c>
      <c r="D17" s="208" t="e">
        <f>'&lt;서식7&gt;현금유출'!P17</f>
        <v>#DIV/0!</v>
      </c>
      <c r="E17" s="162" t="e">
        <f t="shared" si="0"/>
        <v>#DIV/0!</v>
      </c>
      <c r="F17" s="497" t="e">
        <f t="shared" si="1"/>
        <v>#DIV/0!</v>
      </c>
      <c r="G17" s="496" t="e">
        <f>E17+'&lt;서식7&gt;현금유출'!M17+'&lt;서식7&gt;현금유출'!N17+'&lt;서식7&gt;현금유출'!K17</f>
        <v>#DIV/0!</v>
      </c>
      <c r="H17" s="161" t="e">
        <f>'&lt;서식6&gt;현금유입'!D17</f>
        <v>#DIV/0!</v>
      </c>
      <c r="I17" s="161" t="e">
        <f>'&lt;서식7&gt;현금유출'!D17</f>
        <v>#DIV/0!</v>
      </c>
      <c r="J17" s="161" t="e">
        <f t="shared" si="2"/>
        <v>#DIV/0!</v>
      </c>
      <c r="K17" s="265" t="e">
        <f t="shared" si="4"/>
        <v>#DIV/0!</v>
      </c>
      <c r="L17" s="161" t="e">
        <f>SUM('&lt;서식7&gt;현금유출'!AA17:AD17)+'&lt;서식6&gt;현금유입'!K17-'&lt;서식7&gt;현금유출'!I17</f>
        <v>#DIV/0!</v>
      </c>
      <c r="M17" s="261" t="e">
        <f t="shared" si="3"/>
        <v>#DIV/0!</v>
      </c>
      <c r="N17" s="212"/>
      <c r="O17" s="517">
        <f>C17/(1+'&lt;서식5&gt;재원조달계획'!$I$22)^'&lt;서식8&gt;현금흐름분석'!B17</f>
        <v>16704225.961629719</v>
      </c>
      <c r="P17" s="517" t="e">
        <f>D17/(1+'&lt;서식5&gt;재원조달계획'!$I$22)^'&lt;서식8&gt;현금흐름분석'!B17</f>
        <v>#DIV/0!</v>
      </c>
    </row>
    <row r="18" spans="1:16" ht="29.25" customHeight="1">
      <c r="A18" s="206"/>
      <c r="B18" s="160">
        <v>12</v>
      </c>
      <c r="C18" s="208">
        <f>'&lt;서식6&gt;현금유입'!O18</f>
        <v>19676725.2216</v>
      </c>
      <c r="D18" s="208" t="e">
        <f>'&lt;서식7&gt;현금유출'!P18</f>
        <v>#DIV/0!</v>
      </c>
      <c r="E18" s="162" t="e">
        <f t="shared" si="0"/>
        <v>#DIV/0!</v>
      </c>
      <c r="F18" s="497" t="e">
        <f t="shared" si="1"/>
        <v>#DIV/0!</v>
      </c>
      <c r="G18" s="496" t="e">
        <f>E18+'&lt;서식7&gt;현금유출'!M18+'&lt;서식7&gt;현금유출'!N18+'&lt;서식7&gt;현금유출'!K18</f>
        <v>#DIV/0!</v>
      </c>
      <c r="H18" s="161" t="e">
        <f>'&lt;서식6&gt;현금유입'!D18</f>
        <v>#DIV/0!</v>
      </c>
      <c r="I18" s="161" t="e">
        <f>'&lt;서식7&gt;현금유출'!D18</f>
        <v>#DIV/0!</v>
      </c>
      <c r="J18" s="161" t="e">
        <f t="shared" si="2"/>
        <v>#DIV/0!</v>
      </c>
      <c r="K18" s="265" t="e">
        <f t="shared" si="4"/>
        <v>#DIV/0!</v>
      </c>
      <c r="L18" s="161" t="e">
        <f>SUM('&lt;서식7&gt;현금유출'!AA18:AD18)+'&lt;서식6&gt;현금유입'!K18-'&lt;서식7&gt;현금유출'!I18</f>
        <v>#DIV/0!</v>
      </c>
      <c r="M18" s="261" t="e">
        <f t="shared" si="3"/>
        <v>#DIV/0!</v>
      </c>
      <c r="N18" s="212"/>
      <c r="O18" s="517">
        <f>C18/(1+'&lt;서식5&gt;재원조달계획'!$I$22)^'&lt;서식8&gt;현금흐름분석'!B18</f>
        <v>16457365.479438148</v>
      </c>
      <c r="P18" s="517" t="e">
        <f>D18/(1+'&lt;서식5&gt;재원조달계획'!$I$22)^'&lt;서식8&gt;현금흐름분석'!B18</f>
        <v>#DIV/0!</v>
      </c>
    </row>
    <row r="19" spans="1:16" ht="29.25" customHeight="1">
      <c r="A19" s="206"/>
      <c r="B19" s="160">
        <v>13</v>
      </c>
      <c r="C19" s="208">
        <f>'&lt;서식6&gt;현금유입'!O19</f>
        <v>20463794.230464</v>
      </c>
      <c r="D19" s="208" t="e">
        <f>'&lt;서식7&gt;현금유출'!P19</f>
        <v>#DIV/0!</v>
      </c>
      <c r="E19" s="162" t="e">
        <f t="shared" si="0"/>
        <v>#DIV/0!</v>
      </c>
      <c r="F19" s="497" t="e">
        <f t="shared" si="1"/>
        <v>#DIV/0!</v>
      </c>
      <c r="G19" s="496" t="e">
        <f>E19+'&lt;서식7&gt;현금유출'!M19+'&lt;서식7&gt;현금유출'!N19+'&lt;서식7&gt;현금유출'!K19</f>
        <v>#DIV/0!</v>
      </c>
      <c r="H19" s="161" t="e">
        <f>'&lt;서식6&gt;현금유입'!D19</f>
        <v>#DIV/0!</v>
      </c>
      <c r="I19" s="161" t="e">
        <f>'&lt;서식7&gt;현금유출'!D19</f>
        <v>#DIV/0!</v>
      </c>
      <c r="J19" s="161" t="e">
        <f t="shared" si="2"/>
        <v>#DIV/0!</v>
      </c>
      <c r="K19" s="265" t="e">
        <f t="shared" si="4"/>
        <v>#DIV/0!</v>
      </c>
      <c r="L19" s="161" t="e">
        <f>SUM('&lt;서식7&gt;현금유출'!AA19:AD19)+'&lt;서식6&gt;현금유입'!K19-'&lt;서식7&gt;현금유출'!I19</f>
        <v>#DIV/0!</v>
      </c>
      <c r="M19" s="261" t="e">
        <f t="shared" si="3"/>
        <v>#DIV/0!</v>
      </c>
      <c r="N19" s="212"/>
      <c r="O19" s="517">
        <f>C19/(1+'&lt;서식5&gt;재원조달계획'!$I$22)^'&lt;서식8&gt;현금흐름분석'!B19</f>
        <v>16862719.308980964</v>
      </c>
      <c r="P19" s="517" t="e">
        <f>D19/(1+'&lt;서식5&gt;재원조달계획'!$I$22)^'&lt;서식8&gt;현금흐름분석'!B19</f>
        <v>#DIV/0!</v>
      </c>
    </row>
    <row r="20" spans="1:16" ht="29.25" customHeight="1">
      <c r="A20" s="206"/>
      <c r="B20" s="160">
        <v>14</v>
      </c>
      <c r="C20" s="208">
        <f>'&lt;서식6&gt;현금유입'!O20</f>
        <v>20463794.230464</v>
      </c>
      <c r="D20" s="208" t="e">
        <f>'&lt;서식7&gt;현금유출'!P20</f>
        <v>#DIV/0!</v>
      </c>
      <c r="E20" s="162" t="e">
        <f t="shared" si="0"/>
        <v>#DIV/0!</v>
      </c>
      <c r="F20" s="497" t="e">
        <f t="shared" si="1"/>
        <v>#DIV/0!</v>
      </c>
      <c r="G20" s="496" t="e">
        <f>E20+'&lt;서식7&gt;현금유출'!M20+'&lt;서식7&gt;현금유출'!N20+'&lt;서식7&gt;현금유출'!K20</f>
        <v>#DIV/0!</v>
      </c>
      <c r="H20" s="161" t="e">
        <f>'&lt;서식6&gt;현금유입'!D20</f>
        <v>#DIV/0!</v>
      </c>
      <c r="I20" s="161" t="e">
        <f>'&lt;서식7&gt;현금유출'!D20</f>
        <v>#DIV/0!</v>
      </c>
      <c r="J20" s="161" t="e">
        <f t="shared" si="2"/>
        <v>#DIV/0!</v>
      </c>
      <c r="K20" s="265" t="e">
        <f t="shared" si="4"/>
        <v>#DIV/0!</v>
      </c>
      <c r="L20" s="161" t="e">
        <f>SUM('&lt;서식7&gt;현금유출'!AA20:AD20)+'&lt;서식6&gt;현금유입'!K20-'&lt;서식7&gt;현금유출'!I20</f>
        <v>#DIV/0!</v>
      </c>
      <c r="M20" s="261" t="e">
        <f t="shared" si="3"/>
        <v>#DIV/0!</v>
      </c>
      <c r="N20" s="207"/>
      <c r="O20" s="517">
        <f>C20/(1+'&lt;서식5&gt;재원조달계획'!$I$22)^'&lt;서식8&gt;현금흐름분석'!B20</f>
        <v>16613516.56057238</v>
      </c>
      <c r="P20" s="517" t="e">
        <f>D20/(1+'&lt;서식5&gt;재원조달계획'!$I$22)^'&lt;서식8&gt;현금흐름분석'!B20</f>
        <v>#DIV/0!</v>
      </c>
    </row>
    <row r="21" spans="1:16" ht="29.25" customHeight="1">
      <c r="A21" s="206"/>
      <c r="B21" s="160">
        <v>15</v>
      </c>
      <c r="C21" s="208">
        <f>'&lt;서식6&gt;현금유입'!O21</f>
        <v>21282345.999682561</v>
      </c>
      <c r="D21" s="208" t="e">
        <f>'&lt;서식7&gt;현금유출'!P21</f>
        <v>#DIV/0!</v>
      </c>
      <c r="E21" s="162" t="e">
        <f t="shared" si="0"/>
        <v>#DIV/0!</v>
      </c>
      <c r="F21" s="497" t="e">
        <f t="shared" si="1"/>
        <v>#DIV/0!</v>
      </c>
      <c r="G21" s="496" t="e">
        <f>E21+'&lt;서식7&gt;현금유출'!M21+'&lt;서식7&gt;현금유출'!N21+'&lt;서식7&gt;현금유출'!K21</f>
        <v>#DIV/0!</v>
      </c>
      <c r="H21" s="161" t="e">
        <f>'&lt;서식6&gt;현금유입'!D21</f>
        <v>#DIV/0!</v>
      </c>
      <c r="I21" s="161" t="e">
        <f>'&lt;서식7&gt;현금유출'!D21</f>
        <v>#DIV/0!</v>
      </c>
      <c r="J21" s="161" t="e">
        <f t="shared" si="2"/>
        <v>#DIV/0!</v>
      </c>
      <c r="K21" s="265" t="e">
        <f t="shared" si="4"/>
        <v>#DIV/0!</v>
      </c>
      <c r="L21" s="161" t="e">
        <f>SUM('&lt;서식7&gt;현금유출'!AA21:AD21)+'&lt;서식6&gt;현금유입'!K21-'&lt;서식7&gt;현금유출'!I21</f>
        <v>#DIV/0!</v>
      </c>
      <c r="M21" s="261" t="e">
        <f t="shared" si="3"/>
        <v>#DIV/0!</v>
      </c>
      <c r="N21" s="207"/>
      <c r="O21" s="517">
        <f>C21/(1+'&lt;서식5&gt;재원조달계획'!$I$22)^'&lt;서식8&gt;현금흐름분석'!B21</f>
        <v>17022716.475857418</v>
      </c>
      <c r="P21" s="517" t="e">
        <f>D21/(1+'&lt;서식5&gt;재원조달계획'!$I$22)^'&lt;서식8&gt;현금흐름분석'!B21</f>
        <v>#DIV/0!</v>
      </c>
    </row>
    <row r="22" spans="1:16" ht="29.25" customHeight="1">
      <c r="A22" s="206"/>
      <c r="B22" s="160">
        <v>16</v>
      </c>
      <c r="C22" s="208">
        <f>'&lt;서식6&gt;현금유입'!O22</f>
        <v>21282345.999682561</v>
      </c>
      <c r="D22" s="208" t="e">
        <f>'&lt;서식7&gt;현금유출'!P22</f>
        <v>#DIV/0!</v>
      </c>
      <c r="E22" s="162" t="e">
        <f t="shared" si="0"/>
        <v>#DIV/0!</v>
      </c>
      <c r="F22" s="497" t="e">
        <f t="shared" si="1"/>
        <v>#DIV/0!</v>
      </c>
      <c r="G22" s="496" t="e">
        <f>E22+'&lt;서식7&gt;현금유출'!M22+'&lt;서식7&gt;현금유출'!N22+'&lt;서식7&gt;현금유출'!K22</f>
        <v>#DIV/0!</v>
      </c>
      <c r="H22" s="161" t="e">
        <f>'&lt;서식6&gt;현금유입'!D22</f>
        <v>#DIV/0!</v>
      </c>
      <c r="I22" s="161" t="e">
        <f>'&lt;서식7&gt;현금유출'!D22</f>
        <v>#DIV/0!</v>
      </c>
      <c r="J22" s="161" t="e">
        <f t="shared" si="2"/>
        <v>#DIV/0!</v>
      </c>
      <c r="K22" s="265" t="e">
        <f t="shared" si="4"/>
        <v>#DIV/0!</v>
      </c>
      <c r="L22" s="161" t="e">
        <f>SUM('&lt;서식7&gt;현금유출'!AA22:AD22)+'&lt;서식6&gt;현금유입'!K22-'&lt;서식7&gt;현금유출'!I22</f>
        <v>#DIV/0!</v>
      </c>
      <c r="M22" s="261" t="e">
        <f t="shared" si="3"/>
        <v>#DIV/0!</v>
      </c>
      <c r="N22" s="207"/>
      <c r="O22" s="517">
        <f>C22/(1+'&lt;서식5&gt;재원조달계획'!$I$22)^'&lt;서식8&gt;현금흐름분석'!B22</f>
        <v>16771149.23729795</v>
      </c>
      <c r="P22" s="517" t="e">
        <f>D22/(1+'&lt;서식5&gt;재원조달계획'!$I$22)^'&lt;서식8&gt;현금흐름분석'!B22</f>
        <v>#DIV/0!</v>
      </c>
    </row>
    <row r="23" spans="1:16" ht="29.25" customHeight="1">
      <c r="A23" s="206"/>
      <c r="B23" s="160">
        <v>17</v>
      </c>
      <c r="C23" s="208">
        <f>'&lt;서식6&gt;현금유입'!O23</f>
        <v>22346463.299666688</v>
      </c>
      <c r="D23" s="208" t="e">
        <f>'&lt;서식7&gt;현금유출'!P23</f>
        <v>#DIV/0!</v>
      </c>
      <c r="E23" s="162" t="e">
        <f t="shared" si="0"/>
        <v>#DIV/0!</v>
      </c>
      <c r="F23" s="497" t="e">
        <f t="shared" si="1"/>
        <v>#DIV/0!</v>
      </c>
      <c r="G23" s="496" t="e">
        <f>E23+'&lt;서식7&gt;현금유출'!M23+'&lt;서식7&gt;현금유출'!N23+'&lt;서식7&gt;현금유출'!K23</f>
        <v>#DIV/0!</v>
      </c>
      <c r="H23" s="161" t="e">
        <f>'&lt;서식6&gt;현금유입'!D23</f>
        <v>#DIV/0!</v>
      </c>
      <c r="I23" s="161" t="e">
        <f>'&lt;서식7&gt;현금유출'!D23</f>
        <v>#DIV/0!</v>
      </c>
      <c r="J23" s="161" t="e">
        <f t="shared" si="2"/>
        <v>#DIV/0!</v>
      </c>
      <c r="K23" s="265" t="e">
        <f t="shared" si="4"/>
        <v>#DIV/0!</v>
      </c>
      <c r="L23" s="161" t="e">
        <f>SUM('&lt;서식7&gt;현금유출'!AA23:AD23)+'&lt;서식6&gt;현금유입'!K23-'&lt;서식7&gt;현금유출'!I23</f>
        <v>#DIV/0!</v>
      </c>
      <c r="M23" s="261" t="e">
        <f t="shared" si="3"/>
        <v>#DIV/0!</v>
      </c>
      <c r="N23" s="207"/>
      <c r="O23" s="517">
        <f>C23/(1+'&lt;서식5&gt;재원조달계획'!$I$22)^'&lt;서식8&gt;현금흐름분석'!B23</f>
        <v>17349464.728239261</v>
      </c>
      <c r="P23" s="517" t="e">
        <f>D23/(1+'&lt;서식5&gt;재원조달계획'!$I$22)^'&lt;서식8&gt;현금흐름분석'!B23</f>
        <v>#DIV/0!</v>
      </c>
    </row>
    <row r="24" spans="1:16" ht="29.25" customHeight="1">
      <c r="A24" s="206"/>
      <c r="B24" s="160">
        <v>18</v>
      </c>
      <c r="C24" s="208">
        <f>'&lt;서식6&gt;현금유입'!O24</f>
        <v>22346463.299666688</v>
      </c>
      <c r="D24" s="208" t="e">
        <f>'&lt;서식7&gt;현금유출'!P24</f>
        <v>#DIV/0!</v>
      </c>
      <c r="E24" s="162" t="e">
        <f t="shared" si="0"/>
        <v>#DIV/0!</v>
      </c>
      <c r="F24" s="497" t="e">
        <f t="shared" si="1"/>
        <v>#DIV/0!</v>
      </c>
      <c r="G24" s="496" t="e">
        <f>E24+'&lt;서식7&gt;현금유출'!M24+'&lt;서식7&gt;현금유출'!N24+'&lt;서식7&gt;현금유출'!K24</f>
        <v>#DIV/0!</v>
      </c>
      <c r="H24" s="161" t="e">
        <f>'&lt;서식6&gt;현금유입'!D24</f>
        <v>#DIV/0!</v>
      </c>
      <c r="I24" s="161" t="e">
        <f>'&lt;서식7&gt;현금유출'!D24</f>
        <v>#DIV/0!</v>
      </c>
      <c r="J24" s="161" t="e">
        <f t="shared" si="2"/>
        <v>#DIV/0!</v>
      </c>
      <c r="K24" s="265" t="e">
        <f t="shared" si="4"/>
        <v>#DIV/0!</v>
      </c>
      <c r="L24" s="161" t="e">
        <f>SUM('&lt;서식7&gt;현금유출'!AA24:AD24)+'&lt;서식6&gt;현금유입'!K24-'&lt;서식7&gt;현금유출'!I24</f>
        <v>#DIV/0!</v>
      </c>
      <c r="M24" s="261" t="e">
        <f t="shared" si="3"/>
        <v>#DIV/0!</v>
      </c>
      <c r="N24" s="207"/>
      <c r="O24" s="517">
        <f>C24/(1+'&lt;서식5&gt;재원조달계획'!$I$22)^'&lt;서식8&gt;현금흐름분석'!B24</f>
        <v>17093068.697772671</v>
      </c>
      <c r="P24" s="517" t="e">
        <f>D24/(1+'&lt;서식5&gt;재원조달계획'!$I$22)^'&lt;서식8&gt;현금흐름분석'!B24</f>
        <v>#DIV/0!</v>
      </c>
    </row>
    <row r="25" spans="1:16" ht="29.25" customHeight="1">
      <c r="A25" s="206"/>
      <c r="B25" s="160">
        <v>19</v>
      </c>
      <c r="C25" s="208">
        <f>'&lt;서식6&gt;현금유입'!O25</f>
        <v>23463786.464650024</v>
      </c>
      <c r="D25" s="208" t="e">
        <f>'&lt;서식7&gt;현금유출'!P25</f>
        <v>#DIV/0!</v>
      </c>
      <c r="E25" s="162" t="e">
        <f t="shared" si="0"/>
        <v>#DIV/0!</v>
      </c>
      <c r="F25" s="497" t="e">
        <f t="shared" si="1"/>
        <v>#DIV/0!</v>
      </c>
      <c r="G25" s="496" t="e">
        <f>E25+'&lt;서식7&gt;현금유출'!M25+'&lt;서식7&gt;현금유출'!N25+'&lt;서식7&gt;현금유출'!K25</f>
        <v>#DIV/0!</v>
      </c>
      <c r="H25" s="161" t="e">
        <f>'&lt;서식6&gt;현금유입'!D25</f>
        <v>#DIV/0!</v>
      </c>
      <c r="I25" s="161" t="e">
        <f>'&lt;서식7&gt;현금유출'!D25</f>
        <v>#DIV/0!</v>
      </c>
      <c r="J25" s="161" t="e">
        <f t="shared" si="2"/>
        <v>#DIV/0!</v>
      </c>
      <c r="K25" s="265" t="e">
        <f t="shared" si="4"/>
        <v>#DIV/0!</v>
      </c>
      <c r="L25" s="161" t="e">
        <f>SUM('&lt;서식7&gt;현금유출'!AA25:AD25)+'&lt;서식6&gt;현금유입'!K25-'&lt;서식7&gt;현금유출'!I25</f>
        <v>#DIV/0!</v>
      </c>
      <c r="M25" s="261" t="e">
        <f t="shared" si="3"/>
        <v>#DIV/0!</v>
      </c>
      <c r="N25" s="207"/>
      <c r="O25" s="517">
        <f>C25/(1+'&lt;서식5&gt;재원조달계획'!$I$22)^'&lt;서식8&gt;현금흐름분석'!B25</f>
        <v>17682484.859764837</v>
      </c>
      <c r="P25" s="517" t="e">
        <f>D25/(1+'&lt;서식5&gt;재원조달계획'!$I$22)^'&lt;서식8&gt;현금흐름분석'!B25</f>
        <v>#DIV/0!</v>
      </c>
    </row>
    <row r="26" spans="1:16" ht="29.25" customHeight="1">
      <c r="A26" s="206"/>
      <c r="B26" s="160">
        <v>20</v>
      </c>
      <c r="C26" s="208">
        <f>'&lt;서식6&gt;현금유입'!O26</f>
        <v>23463786.464650024</v>
      </c>
      <c r="D26" s="208" t="e">
        <f>'&lt;서식7&gt;현금유출'!P26</f>
        <v>#DIV/0!</v>
      </c>
      <c r="E26" s="162" t="e">
        <f t="shared" si="0"/>
        <v>#DIV/0!</v>
      </c>
      <c r="F26" s="497" t="e">
        <f t="shared" si="1"/>
        <v>#DIV/0!</v>
      </c>
      <c r="G26" s="496" t="e">
        <f>E26+'&lt;서식7&gt;현금유출'!M26+'&lt;서식7&gt;현금유출'!N26+'&lt;서식7&gt;현금유출'!K26</f>
        <v>#DIV/0!</v>
      </c>
      <c r="H26" s="161" t="e">
        <f>'&lt;서식6&gt;현금유입'!D26</f>
        <v>#DIV/0!</v>
      </c>
      <c r="I26" s="161" t="e">
        <f>'&lt;서식7&gt;현금유출'!D26</f>
        <v>#DIV/0!</v>
      </c>
      <c r="J26" s="161" t="e">
        <f t="shared" si="2"/>
        <v>#DIV/0!</v>
      </c>
      <c r="K26" s="265" t="e">
        <f t="shared" si="4"/>
        <v>#DIV/0!</v>
      </c>
      <c r="L26" s="161" t="e">
        <f>SUM('&lt;서식7&gt;현금유출'!AA26:AD26)+'&lt;서식6&gt;현금유입'!K26-'&lt;서식7&gt;현금유출'!I26</f>
        <v>#DIV/0!</v>
      </c>
      <c r="M26" s="261" t="e">
        <f t="shared" si="3"/>
        <v>#DIV/0!</v>
      </c>
      <c r="N26" s="207"/>
      <c r="O26" s="517">
        <f>C26/(1+'&lt;서식5&gt;재원조달계획'!$I$22)^'&lt;서식8&gt;현금흐름분석'!B26</f>
        <v>17421167.349522009</v>
      </c>
      <c r="P26" s="517" t="e">
        <f>D26/(1+'&lt;서식5&gt;재원조달계획'!$I$22)^'&lt;서식8&gt;현금흐름분석'!B26</f>
        <v>#DIV/0!</v>
      </c>
    </row>
    <row r="27" spans="1:16" ht="29.25" customHeight="1">
      <c r="A27" s="206"/>
      <c r="B27" s="160">
        <v>21</v>
      </c>
      <c r="C27" s="208">
        <f>'&lt;서식6&gt;현금유입'!O27</f>
        <v>24636975.787882525</v>
      </c>
      <c r="D27" s="208" t="e">
        <f>'&lt;서식7&gt;현금유출'!P27</f>
        <v>#DIV/0!</v>
      </c>
      <c r="E27" s="162" t="e">
        <f t="shared" si="0"/>
        <v>#DIV/0!</v>
      </c>
      <c r="F27" s="497" t="e">
        <f t="shared" si="1"/>
        <v>#DIV/0!</v>
      </c>
      <c r="G27" s="496" t="e">
        <f>E27+'&lt;서식7&gt;현금유출'!M27+'&lt;서식7&gt;현금유출'!N27+'&lt;서식7&gt;현금유출'!K27</f>
        <v>#DIV/0!</v>
      </c>
      <c r="H27" s="161" t="e">
        <f>'&lt;서식6&gt;현금유입'!D27</f>
        <v>#DIV/0!</v>
      </c>
      <c r="I27" s="161" t="e">
        <f>'&lt;서식7&gt;현금유출'!D27</f>
        <v>#DIV/0!</v>
      </c>
      <c r="J27" s="161" t="e">
        <f t="shared" si="2"/>
        <v>#DIV/0!</v>
      </c>
      <c r="K27" s="265" t="e">
        <f t="shared" si="4"/>
        <v>#DIV/0!</v>
      </c>
      <c r="L27" s="161" t="e">
        <f>SUM('&lt;서식7&gt;현금유출'!AA27:AD27)+'&lt;서식6&gt;현금유입'!K27-'&lt;서식7&gt;현금유출'!I27</f>
        <v>#DIV/0!</v>
      </c>
      <c r="M27" s="261" t="e">
        <f t="shared" si="3"/>
        <v>#DIV/0!</v>
      </c>
      <c r="N27" s="207"/>
      <c r="O27" s="517">
        <f>C27/(1+'&lt;서식5&gt;재원조달계획'!$I$22)^'&lt;서식8&gt;현금흐름분석'!B27</f>
        <v>18021897.258126222</v>
      </c>
      <c r="P27" s="517" t="e">
        <f>D27/(1+'&lt;서식5&gt;재원조달계획'!$I$22)^'&lt;서식8&gt;현금흐름분석'!B27</f>
        <v>#DIV/0!</v>
      </c>
    </row>
    <row r="28" spans="1:16" ht="29.25" customHeight="1">
      <c r="A28" s="206"/>
      <c r="B28" s="160">
        <v>22</v>
      </c>
      <c r="C28" s="208">
        <f>'&lt;서식6&gt;현금유입'!O28</f>
        <v>24636975.787882525</v>
      </c>
      <c r="D28" s="208" t="e">
        <f>'&lt;서식7&gt;현금유출'!P28</f>
        <v>#DIV/0!</v>
      </c>
      <c r="E28" s="162" t="e">
        <f t="shared" si="0"/>
        <v>#DIV/0!</v>
      </c>
      <c r="F28" s="497" t="e">
        <f t="shared" si="1"/>
        <v>#DIV/0!</v>
      </c>
      <c r="G28" s="496" t="e">
        <f>E28+'&lt;서식7&gt;현금유출'!M28+'&lt;서식7&gt;현금유출'!N28+'&lt;서식7&gt;현금유출'!K28</f>
        <v>#DIV/0!</v>
      </c>
      <c r="H28" s="161" t="e">
        <f>'&lt;서식6&gt;현금유입'!D28</f>
        <v>#DIV/0!</v>
      </c>
      <c r="I28" s="161" t="e">
        <f>'&lt;서식7&gt;현금유출'!D28</f>
        <v>#DIV/0!</v>
      </c>
      <c r="J28" s="161" t="e">
        <f t="shared" si="2"/>
        <v>#DIV/0!</v>
      </c>
      <c r="K28" s="265" t="e">
        <f t="shared" si="4"/>
        <v>#DIV/0!</v>
      </c>
      <c r="L28" s="161" t="e">
        <f>SUM('&lt;서식7&gt;현금유출'!AA28:AD28)+'&lt;서식6&gt;현금유입'!K28-'&lt;서식7&gt;현금유출'!I28</f>
        <v>#DIV/0!</v>
      </c>
      <c r="M28" s="261" t="e">
        <f t="shared" si="3"/>
        <v>#DIV/0!</v>
      </c>
      <c r="N28" s="207"/>
      <c r="O28" s="517">
        <f>C28/(1+'&lt;서식5&gt;재원조달계획'!$I$22)^'&lt;서식8&gt;현금흐름분석'!B28</f>
        <v>17755563.801109578</v>
      </c>
      <c r="P28" s="517" t="e">
        <f>D28/(1+'&lt;서식5&gt;재원조달계획'!$I$22)^'&lt;서식8&gt;현금흐름분석'!B28</f>
        <v>#DIV/0!</v>
      </c>
    </row>
    <row r="29" spans="1:16" ht="29.25" customHeight="1">
      <c r="A29" s="206"/>
      <c r="B29" s="160">
        <v>23</v>
      </c>
      <c r="C29" s="208">
        <f>'&lt;서식6&gt;현금유입'!O29</f>
        <v>25868824.577276655</v>
      </c>
      <c r="D29" s="208" t="e">
        <f>'&lt;서식7&gt;현금유출'!P29</f>
        <v>#DIV/0!</v>
      </c>
      <c r="E29" s="162" t="e">
        <f t="shared" si="0"/>
        <v>#DIV/0!</v>
      </c>
      <c r="F29" s="497" t="e">
        <f t="shared" si="1"/>
        <v>#DIV/0!</v>
      </c>
      <c r="G29" s="496" t="e">
        <f>E29+'&lt;서식7&gt;현금유출'!M29+'&lt;서식7&gt;현금유출'!N29+'&lt;서식7&gt;현금유출'!K29</f>
        <v>#DIV/0!</v>
      </c>
      <c r="H29" s="161" t="e">
        <f>'&lt;서식6&gt;현금유입'!D29</f>
        <v>#DIV/0!</v>
      </c>
      <c r="I29" s="161" t="e">
        <f>'&lt;서식7&gt;현금유출'!D29</f>
        <v>#DIV/0!</v>
      </c>
      <c r="J29" s="161" t="e">
        <f t="shared" si="2"/>
        <v>#DIV/0!</v>
      </c>
      <c r="K29" s="265" t="e">
        <f t="shared" si="4"/>
        <v>#DIV/0!</v>
      </c>
      <c r="L29" s="161" t="e">
        <f>SUM('&lt;서식7&gt;현금유출'!AA29:AD29)+'&lt;서식6&gt;현금유입'!K29-'&lt;서식7&gt;현금유출'!I29</f>
        <v>#DIV/0!</v>
      </c>
      <c r="M29" s="261" t="e">
        <f t="shared" si="3"/>
        <v>#DIV/0!</v>
      </c>
      <c r="N29" s="207"/>
      <c r="O29" s="517">
        <f>C29/(1+'&lt;서식5&gt;재원조달계획'!$I$22)^'&lt;서식8&gt;현금흐름분석'!B29</f>
        <v>18367824.6218375</v>
      </c>
      <c r="P29" s="517" t="e">
        <f>D29/(1+'&lt;서식5&gt;재원조달계획'!$I$22)^'&lt;서식8&gt;현금흐름분석'!B29</f>
        <v>#DIV/0!</v>
      </c>
    </row>
    <row r="30" spans="1:16" ht="29.25" customHeight="1">
      <c r="A30" s="206"/>
      <c r="B30" s="160">
        <v>24</v>
      </c>
      <c r="C30" s="208">
        <f>'&lt;서식6&gt;현금유입'!O30</f>
        <v>25868824.577276655</v>
      </c>
      <c r="D30" s="208" t="e">
        <f>'&lt;서식7&gt;현금유출'!P30</f>
        <v>#DIV/0!</v>
      </c>
      <c r="E30" s="162" t="e">
        <f t="shared" si="0"/>
        <v>#DIV/0!</v>
      </c>
      <c r="F30" s="497" t="e">
        <f t="shared" si="1"/>
        <v>#DIV/0!</v>
      </c>
      <c r="G30" s="496" t="e">
        <f>E30+'&lt;서식7&gt;현금유출'!M30+'&lt;서식7&gt;현금유출'!N30+'&lt;서식7&gt;현금유출'!K30</f>
        <v>#DIV/0!</v>
      </c>
      <c r="H30" s="161" t="e">
        <f>'&lt;서식6&gt;현금유입'!D30</f>
        <v>#DIV/0!</v>
      </c>
      <c r="I30" s="161" t="e">
        <f>'&lt;서식7&gt;현금유출'!D30</f>
        <v>#DIV/0!</v>
      </c>
      <c r="J30" s="161" t="e">
        <f t="shared" si="2"/>
        <v>#DIV/0!</v>
      </c>
      <c r="K30" s="265" t="e">
        <f t="shared" si="4"/>
        <v>#DIV/0!</v>
      </c>
      <c r="L30" s="161" t="e">
        <f>SUM('&lt;서식7&gt;현금유출'!AA30:AD30)+'&lt;서식6&gt;현금유입'!K30-'&lt;서식7&gt;현금유출'!I30</f>
        <v>#DIV/0!</v>
      </c>
      <c r="M30" s="261" t="e">
        <f t="shared" si="3"/>
        <v>#DIV/0!</v>
      </c>
      <c r="N30" s="207"/>
      <c r="O30" s="517">
        <f>C30/(1+'&lt;서식5&gt;재원조달계획'!$I$22)^'&lt;서식8&gt;현금흐름분석'!B30</f>
        <v>18096378.93777094</v>
      </c>
      <c r="P30" s="517" t="e">
        <f>D30/(1+'&lt;서식5&gt;재원조달계획'!$I$22)^'&lt;서식8&gt;현금흐름분석'!B30</f>
        <v>#DIV/0!</v>
      </c>
    </row>
    <row r="31" spans="1:16" ht="29.25" customHeight="1">
      <c r="A31" s="206"/>
      <c r="B31" s="160">
        <v>25</v>
      </c>
      <c r="C31" s="208">
        <f>'&lt;서식6&gt;현금유입'!O31</f>
        <v>27162265.80614049</v>
      </c>
      <c r="D31" s="208" t="e">
        <f>'&lt;서식7&gt;현금유출'!P31</f>
        <v>#DIV/0!</v>
      </c>
      <c r="E31" s="162" t="e">
        <f t="shared" si="0"/>
        <v>#DIV/0!</v>
      </c>
      <c r="F31" s="497" t="e">
        <f t="shared" si="1"/>
        <v>#DIV/0!</v>
      </c>
      <c r="G31" s="496" t="e">
        <f>E31+'&lt;서식7&gt;현금유출'!M31+'&lt;서식7&gt;현금유출'!N31+'&lt;서식7&gt;현금유출'!K31</f>
        <v>#DIV/0!</v>
      </c>
      <c r="H31" s="161" t="e">
        <f>'&lt;서식6&gt;현금유입'!D31</f>
        <v>#DIV/0!</v>
      </c>
      <c r="I31" s="161" t="e">
        <f>'&lt;서식7&gt;현금유출'!D31</f>
        <v>#DIV/0!</v>
      </c>
      <c r="J31" s="161" t="e">
        <f t="shared" si="2"/>
        <v>#DIV/0!</v>
      </c>
      <c r="K31" s="265" t="e">
        <f t="shared" si="4"/>
        <v>#DIV/0!</v>
      </c>
      <c r="L31" s="161" t="e">
        <f>SUM('&lt;서식7&gt;현금유출'!AA31:AD31)+'&lt;서식6&gt;현금유입'!K31-'&lt;서식7&gt;현금유출'!I31</f>
        <v>#DIV/0!</v>
      </c>
      <c r="M31" s="261" t="e">
        <f t="shared" si="3"/>
        <v>#DIV/0!</v>
      </c>
      <c r="N31" s="207"/>
      <c r="O31" s="517">
        <f>C31/(1+'&lt;서식5&gt;재원조달계획'!$I$22)^'&lt;서식8&gt;현금흐름분석'!B31</f>
        <v>18720392.004590631</v>
      </c>
      <c r="P31" s="517" t="e">
        <f>D31/(1+'&lt;서식5&gt;재원조달계획'!$I$22)^'&lt;서식8&gt;현금흐름분석'!B31</f>
        <v>#DIV/0!</v>
      </c>
    </row>
    <row r="32" spans="1:16" ht="29.25" customHeight="1">
      <c r="A32" s="206"/>
      <c r="B32" s="160">
        <v>26</v>
      </c>
      <c r="C32" s="208">
        <f>'&lt;서식6&gt;현금유입'!O32</f>
        <v>27162265.80614049</v>
      </c>
      <c r="D32" s="208" t="e">
        <f>'&lt;서식7&gt;현금유출'!P32</f>
        <v>#DIV/0!</v>
      </c>
      <c r="E32" s="162" t="e">
        <f t="shared" si="0"/>
        <v>#DIV/0!</v>
      </c>
      <c r="F32" s="497" t="e">
        <f t="shared" si="1"/>
        <v>#DIV/0!</v>
      </c>
      <c r="G32" s="496" t="e">
        <f>E32+'&lt;서식7&gt;현금유출'!M32+'&lt;서식7&gt;현금유출'!N32+'&lt;서식7&gt;현금유출'!K32</f>
        <v>#DIV/0!</v>
      </c>
      <c r="H32" s="161" t="e">
        <f>'&lt;서식6&gt;현금유입'!D32</f>
        <v>#DIV/0!</v>
      </c>
      <c r="I32" s="161" t="e">
        <f>'&lt;서식7&gt;현금유출'!D32</f>
        <v>#DIV/0!</v>
      </c>
      <c r="J32" s="161" t="e">
        <f t="shared" si="2"/>
        <v>#DIV/0!</v>
      </c>
      <c r="K32" s="265" t="e">
        <f t="shared" si="4"/>
        <v>#DIV/0!</v>
      </c>
      <c r="L32" s="161" t="e">
        <f>SUM('&lt;서식7&gt;현금유출'!AA32:AD32)+'&lt;서식6&gt;현금유입'!K32-'&lt;서식7&gt;현금유출'!I32</f>
        <v>#DIV/0!</v>
      </c>
      <c r="M32" s="261" t="e">
        <f t="shared" si="3"/>
        <v>#DIV/0!</v>
      </c>
      <c r="N32" s="207"/>
      <c r="O32" s="517">
        <f>C32/(1+'&lt;서식5&gt;재원조달계획'!$I$22)^'&lt;서식8&gt;현금흐름분석'!B32</f>
        <v>18443735.965113923</v>
      </c>
      <c r="P32" s="517" t="e">
        <f>D32/(1+'&lt;서식5&gt;재원조달계획'!$I$22)^'&lt;서식8&gt;현금흐름분석'!B32</f>
        <v>#DIV/0!</v>
      </c>
    </row>
    <row r="33" spans="1:20" ht="29.25" customHeight="1">
      <c r="A33" s="206"/>
      <c r="B33" s="160">
        <v>27</v>
      </c>
      <c r="C33" s="208">
        <f>'&lt;서식6&gt;현금유입'!O33</f>
        <v>28520379.096447516</v>
      </c>
      <c r="D33" s="208" t="e">
        <f>'&lt;서식7&gt;현금유출'!P33</f>
        <v>#DIV/0!</v>
      </c>
      <c r="E33" s="162" t="e">
        <f t="shared" si="0"/>
        <v>#DIV/0!</v>
      </c>
      <c r="F33" s="497" t="e">
        <f t="shared" si="1"/>
        <v>#DIV/0!</v>
      </c>
      <c r="G33" s="496" t="e">
        <f>E33+'&lt;서식7&gt;현금유출'!M33+'&lt;서식7&gt;현금유출'!N33+'&lt;서식7&gt;현금유출'!K33</f>
        <v>#DIV/0!</v>
      </c>
      <c r="H33" s="161" t="e">
        <f>'&lt;서식6&gt;현금유입'!D33</f>
        <v>#DIV/0!</v>
      </c>
      <c r="I33" s="161" t="e">
        <f>'&lt;서식7&gt;현금유출'!D33</f>
        <v>#DIV/0!</v>
      </c>
      <c r="J33" s="161" t="e">
        <f t="shared" si="2"/>
        <v>#DIV/0!</v>
      </c>
      <c r="K33" s="265" t="e">
        <f t="shared" si="4"/>
        <v>#DIV/0!</v>
      </c>
      <c r="L33" s="161" t="e">
        <f>SUM('&lt;서식7&gt;현금유출'!AA33:AD33)+'&lt;서식6&gt;현금유입'!K33-'&lt;서식7&gt;현금유출'!I33</f>
        <v>#DIV/0!</v>
      </c>
      <c r="M33" s="261" t="e">
        <f t="shared" si="3"/>
        <v>#DIV/0!</v>
      </c>
      <c r="N33" s="207"/>
      <c r="O33" s="517">
        <f>C33/(1+'&lt;서식5&gt;재원조달계획'!$I$22)^'&lt;서식8&gt;현금흐름분석'!B33</f>
        <v>19079726.86046268</v>
      </c>
      <c r="P33" s="517" t="e">
        <f>D33/(1+'&lt;서식5&gt;재원조달계획'!$I$22)^'&lt;서식8&gt;현금흐름분석'!B33</f>
        <v>#DIV/0!</v>
      </c>
    </row>
    <row r="34" spans="1:20" ht="29.25" customHeight="1">
      <c r="A34" s="206"/>
      <c r="B34" s="160">
        <v>28</v>
      </c>
      <c r="C34" s="208">
        <f>'&lt;서식6&gt;현금유입'!O34</f>
        <v>28520379.096447516</v>
      </c>
      <c r="D34" s="208" t="e">
        <f>'&lt;서식7&gt;현금유출'!P34</f>
        <v>#DIV/0!</v>
      </c>
      <c r="E34" s="162" t="e">
        <f t="shared" si="0"/>
        <v>#DIV/0!</v>
      </c>
      <c r="F34" s="497" t="e">
        <f t="shared" si="1"/>
        <v>#DIV/0!</v>
      </c>
      <c r="G34" s="496" t="e">
        <f>E34+'&lt;서식7&gt;현금유출'!M34+'&lt;서식7&gt;현금유출'!N34+'&lt;서식7&gt;현금유출'!K34</f>
        <v>#DIV/0!</v>
      </c>
      <c r="H34" s="161" t="e">
        <f>'&lt;서식6&gt;현금유입'!D34</f>
        <v>#DIV/0!</v>
      </c>
      <c r="I34" s="161" t="e">
        <f>'&lt;서식7&gt;현금유출'!D34</f>
        <v>#DIV/0!</v>
      </c>
      <c r="J34" s="161" t="e">
        <f t="shared" si="2"/>
        <v>#DIV/0!</v>
      </c>
      <c r="K34" s="265" t="e">
        <f t="shared" si="4"/>
        <v>#DIV/0!</v>
      </c>
      <c r="L34" s="161" t="e">
        <f>SUM('&lt;서식7&gt;현금유출'!AA34:AD34)+'&lt;서식6&gt;현금유입'!K34-'&lt;서식7&gt;현금유출'!I34</f>
        <v>#DIV/0!</v>
      </c>
      <c r="M34" s="261" t="e">
        <f t="shared" si="3"/>
        <v>#DIV/0!</v>
      </c>
      <c r="N34" s="207"/>
      <c r="O34" s="517">
        <f>C34/(1+'&lt;서식5&gt;재원조달계획'!$I$22)^'&lt;서식8&gt;현금흐름분석'!B34</f>
        <v>18797760.453657821</v>
      </c>
      <c r="P34" s="517" t="e">
        <f>D34/(1+'&lt;서식5&gt;재원조달계획'!$I$22)^'&lt;서식8&gt;현금흐름분석'!B34</f>
        <v>#DIV/0!</v>
      </c>
    </row>
    <row r="35" spans="1:20" ht="29.25" customHeight="1">
      <c r="A35" s="206"/>
      <c r="B35" s="160">
        <v>29</v>
      </c>
      <c r="C35" s="208">
        <f>'&lt;서식6&gt;현금유입'!O35</f>
        <v>29946398.051269893</v>
      </c>
      <c r="D35" s="208" t="e">
        <f>'&lt;서식7&gt;현금유출'!P35</f>
        <v>#DIV/0!</v>
      </c>
      <c r="E35" s="162" t="e">
        <f t="shared" si="0"/>
        <v>#DIV/0!</v>
      </c>
      <c r="F35" s="497" t="e">
        <f t="shared" si="1"/>
        <v>#DIV/0!</v>
      </c>
      <c r="G35" s="496" t="e">
        <f>E35+'&lt;서식7&gt;현금유출'!M35+'&lt;서식7&gt;현금유출'!N35+'&lt;서식7&gt;현금유출'!K35</f>
        <v>#DIV/0!</v>
      </c>
      <c r="H35" s="161" t="e">
        <f>'&lt;서식6&gt;현금유입'!D35</f>
        <v>#DIV/0!</v>
      </c>
      <c r="I35" s="161" t="e">
        <f>'&lt;서식7&gt;현금유출'!D35</f>
        <v>#DIV/0!</v>
      </c>
      <c r="J35" s="161" t="e">
        <f t="shared" si="2"/>
        <v>#DIV/0!</v>
      </c>
      <c r="K35" s="265" t="e">
        <f t="shared" si="4"/>
        <v>#DIV/0!</v>
      </c>
      <c r="L35" s="161" t="e">
        <f>SUM('&lt;서식7&gt;현금유출'!AA35:AD35)+'&lt;서식6&gt;현금유입'!K35-'&lt;서식7&gt;현금유출'!I35</f>
        <v>#DIV/0!</v>
      </c>
      <c r="M35" s="261" t="e">
        <f t="shared" si="3"/>
        <v>#DIV/0!</v>
      </c>
      <c r="N35" s="207"/>
      <c r="O35" s="517">
        <f>C35/(1+'&lt;서식5&gt;재원조달계획'!$I$22)^'&lt;서식8&gt;현금흐름분석'!B35</f>
        <v>19445959.089990847</v>
      </c>
      <c r="P35" s="517" t="e">
        <f>D35/(1+'&lt;서식5&gt;재원조달계획'!$I$22)^'&lt;서식8&gt;현금흐름분석'!B35</f>
        <v>#DIV/0!</v>
      </c>
    </row>
    <row r="36" spans="1:20" ht="29.25" customHeight="1">
      <c r="A36" s="206"/>
      <c r="B36" s="160">
        <v>30</v>
      </c>
      <c r="C36" s="208">
        <f>'&lt;서식6&gt;현금유입'!O36</f>
        <v>29946398.051269893</v>
      </c>
      <c r="D36" s="208" t="e">
        <f>'&lt;서식7&gt;현금유출'!P36</f>
        <v>#DIV/0!</v>
      </c>
      <c r="E36" s="162" t="e">
        <f t="shared" si="0"/>
        <v>#DIV/0!</v>
      </c>
      <c r="F36" s="497" t="e">
        <f t="shared" si="1"/>
        <v>#DIV/0!</v>
      </c>
      <c r="G36" s="496" t="e">
        <f>E36+'&lt;서식7&gt;현금유출'!M36+'&lt;서식7&gt;현금유출'!N36+'&lt;서식7&gt;현금유출'!K36</f>
        <v>#DIV/0!</v>
      </c>
      <c r="H36" s="161" t="e">
        <f>'&lt;서식6&gt;현금유입'!D36</f>
        <v>#DIV/0!</v>
      </c>
      <c r="I36" s="161" t="e">
        <f>'&lt;서식7&gt;현금유출'!D36</f>
        <v>#DIV/0!</v>
      </c>
      <c r="J36" s="161" t="e">
        <f t="shared" si="2"/>
        <v>#DIV/0!</v>
      </c>
      <c r="K36" s="265" t="e">
        <f t="shared" si="4"/>
        <v>#DIV/0!</v>
      </c>
      <c r="L36" s="161" t="e">
        <f>SUM('&lt;서식7&gt;현금유출'!AA36:AD36)+'&lt;서식6&gt;현금유입'!K36-'&lt;서식7&gt;현금유출'!I36</f>
        <v>#DIV/0!</v>
      </c>
      <c r="M36" s="261" t="e">
        <f t="shared" si="3"/>
        <v>#DIV/0!</v>
      </c>
      <c r="N36" s="207"/>
      <c r="O36" s="517">
        <f>C36/(1+'&lt;서식5&gt;재원조달계획'!$I$22)^'&lt;서식8&gt;현금흐름분석'!B36</f>
        <v>19158580.384227443</v>
      </c>
      <c r="P36" s="517" t="e">
        <f>D36/(1+'&lt;서식5&gt;재원조달계획'!$I$22)^'&lt;서식8&gt;현금흐름분석'!B36</f>
        <v>#DIV/0!</v>
      </c>
    </row>
    <row r="37" spans="1:20" ht="29.25" customHeight="1">
      <c r="A37" s="206"/>
      <c r="B37" s="160">
        <v>31</v>
      </c>
      <c r="C37" s="208">
        <f>'&lt;서식6&gt;현금유입'!O37</f>
        <v>31443717.95383339</v>
      </c>
      <c r="D37" s="208" t="e">
        <f>'&lt;서식7&gt;현금유출'!P37</f>
        <v>#DIV/0!</v>
      </c>
      <c r="E37" s="162" t="e">
        <f t="shared" si="0"/>
        <v>#DIV/0!</v>
      </c>
      <c r="F37" s="497" t="e">
        <f t="shared" si="1"/>
        <v>#DIV/0!</v>
      </c>
      <c r="G37" s="496" t="e">
        <f>E37+'&lt;서식7&gt;현금유출'!M37+'&lt;서식7&gt;현금유출'!N37+'&lt;서식7&gt;현금유출'!K37</f>
        <v>#DIV/0!</v>
      </c>
      <c r="H37" s="161" t="e">
        <f>'&lt;서식6&gt;현금유입'!D37</f>
        <v>#DIV/0!</v>
      </c>
      <c r="I37" s="161" t="e">
        <f>'&lt;서식7&gt;현금유출'!D37</f>
        <v>#DIV/0!</v>
      </c>
      <c r="J37" s="161" t="e">
        <f t="shared" si="2"/>
        <v>#DIV/0!</v>
      </c>
      <c r="K37" s="265" t="e">
        <f t="shared" si="4"/>
        <v>#DIV/0!</v>
      </c>
      <c r="L37" s="161" t="e">
        <f>SUM('&lt;서식7&gt;현금유출'!AA37:AD37)+'&lt;서식6&gt;현금유입'!K37-'&lt;서식7&gt;현금유출'!I37</f>
        <v>#DIV/0!</v>
      </c>
      <c r="M37" s="261" t="e">
        <f t="shared" si="3"/>
        <v>#DIV/0!</v>
      </c>
      <c r="N37" s="207"/>
      <c r="O37" s="517">
        <f>C37/(1+'&lt;서식5&gt;재원조달계획'!$I$22)^'&lt;서식8&gt;현금흐름분석'!B37</f>
        <v>19819221.087131839</v>
      </c>
      <c r="P37" s="517" t="e">
        <f>D37/(1+'&lt;서식5&gt;재원조달계획'!$I$22)^'&lt;서식8&gt;현금흐름분석'!B37</f>
        <v>#DIV/0!</v>
      </c>
    </row>
    <row r="38" spans="1:20" ht="29.25" customHeight="1">
      <c r="A38" s="206"/>
      <c r="B38" s="160">
        <v>32</v>
      </c>
      <c r="C38" s="161">
        <f>'&lt;서식6&gt;현금유입'!O38</f>
        <v>31443717.95383339</v>
      </c>
      <c r="D38" s="161" t="e">
        <f>'&lt;서식7&gt;현금유출'!P38</f>
        <v>#DIV/0!</v>
      </c>
      <c r="E38" s="162" t="e">
        <f t="shared" si="0"/>
        <v>#DIV/0!</v>
      </c>
      <c r="F38" s="265" t="e">
        <f t="shared" si="1"/>
        <v>#DIV/0!</v>
      </c>
      <c r="G38" s="496" t="e">
        <f>E38+'&lt;서식7&gt;현금유출'!M38+'&lt;서식7&gt;현금유출'!N38+'&lt;서식7&gt;현금유출'!K38</f>
        <v>#DIV/0!</v>
      </c>
      <c r="H38" s="161" t="e">
        <f>'&lt;서식6&gt;현금유입'!D38</f>
        <v>#DIV/0!</v>
      </c>
      <c r="I38" s="161" t="e">
        <f>'&lt;서식7&gt;현금유출'!D38</f>
        <v>#DIV/0!</v>
      </c>
      <c r="J38" s="161" t="e">
        <f t="shared" si="2"/>
        <v>#DIV/0!</v>
      </c>
      <c r="K38" s="265" t="e">
        <f t="shared" si="4"/>
        <v>#DIV/0!</v>
      </c>
      <c r="L38" s="161" t="e">
        <f>SUM('&lt;서식7&gt;현금유출'!AA38:AD38)+'&lt;서식6&gt;현금유입'!K38-'&lt;서식7&gt;현금유출'!I38</f>
        <v>#DIV/0!</v>
      </c>
      <c r="M38" s="261" t="e">
        <f t="shared" si="3"/>
        <v>#DIV/0!</v>
      </c>
      <c r="N38" s="207"/>
      <c r="O38" s="517">
        <f>C38/(1+'&lt;서식5&gt;재원조달계획'!$I$22)^'&lt;서식8&gt;현금흐름분석'!B38</f>
        <v>19526326.194218565</v>
      </c>
      <c r="P38" s="517" t="e">
        <f>D38/(1+'&lt;서식5&gt;재원조달계획'!$I$22)^'&lt;서식8&gt;현금흐름분석'!B38</f>
        <v>#DIV/0!</v>
      </c>
    </row>
    <row r="39" spans="1:20" ht="29.25" customHeight="1">
      <c r="A39" s="206"/>
      <c r="B39" s="160">
        <v>33</v>
      </c>
      <c r="C39" s="161">
        <f>'&lt;서식6&gt;현금유입'!O39</f>
        <v>33015903.851525061</v>
      </c>
      <c r="D39" s="161" t="e">
        <f>'&lt;서식7&gt;현금유출'!P39</f>
        <v>#DIV/0!</v>
      </c>
      <c r="E39" s="162" t="e">
        <f t="shared" si="0"/>
        <v>#DIV/0!</v>
      </c>
      <c r="F39" s="265" t="e">
        <f t="shared" si="1"/>
        <v>#DIV/0!</v>
      </c>
      <c r="G39" s="496" t="e">
        <f>E39+'&lt;서식7&gt;현금유출'!M39+'&lt;서식7&gt;현금유출'!N39+'&lt;서식7&gt;현금유출'!K39</f>
        <v>#DIV/0!</v>
      </c>
      <c r="H39" s="161" t="e">
        <f>'&lt;서식6&gt;현금유입'!D39</f>
        <v>#DIV/0!</v>
      </c>
      <c r="I39" s="161" t="e">
        <f>'&lt;서식7&gt;현금유출'!D39</f>
        <v>#DIV/0!</v>
      </c>
      <c r="J39" s="161" t="e">
        <f t="shared" si="2"/>
        <v>#DIV/0!</v>
      </c>
      <c r="K39" s="265" t="e">
        <f t="shared" si="4"/>
        <v>#DIV/0!</v>
      </c>
      <c r="L39" s="161" t="e">
        <f>SUM('&lt;서식7&gt;현금유출'!AA39:AD39)+'&lt;서식6&gt;현금유입'!K39-'&lt;서식7&gt;현금유출'!I39</f>
        <v>#DIV/0!</v>
      </c>
      <c r="M39" s="261" t="e">
        <f t="shared" si="3"/>
        <v>#DIV/0!</v>
      </c>
      <c r="N39" s="207"/>
      <c r="O39" s="517">
        <f>C39/(1+'&lt;서식5&gt;재원조달계획'!$I$22)^'&lt;서식8&gt;현금흐름분석'!B39</f>
        <v>20199647.787122656</v>
      </c>
      <c r="P39" s="517" t="e">
        <f>D39/(1+'&lt;서식5&gt;재원조달계획'!$I$22)^'&lt;서식8&gt;현금흐름분석'!B39</f>
        <v>#DIV/0!</v>
      </c>
    </row>
    <row r="40" spans="1:20" ht="29.25" customHeight="1">
      <c r="A40" s="206"/>
      <c r="B40" s="160">
        <v>34</v>
      </c>
      <c r="C40" s="161">
        <f>'&lt;서식6&gt;현금유입'!O40</f>
        <v>33015903.851525061</v>
      </c>
      <c r="D40" s="161" t="e">
        <f>'&lt;서식7&gt;현금유출'!P40</f>
        <v>#DIV/0!</v>
      </c>
      <c r="E40" s="162" t="e">
        <f t="shared" si="0"/>
        <v>#DIV/0!</v>
      </c>
      <c r="F40" s="265" t="e">
        <f t="shared" si="1"/>
        <v>#DIV/0!</v>
      </c>
      <c r="G40" s="496" t="e">
        <f>E40+'&lt;서식7&gt;현금유출'!M40+'&lt;서식7&gt;현금유출'!N40+'&lt;서식7&gt;현금유출'!K40</f>
        <v>#DIV/0!</v>
      </c>
      <c r="H40" s="161" t="e">
        <f>'&lt;서식6&gt;현금유입'!D40</f>
        <v>#DIV/0!</v>
      </c>
      <c r="I40" s="161" t="e">
        <f>'&lt;서식7&gt;현금유출'!D40</f>
        <v>#DIV/0!</v>
      </c>
      <c r="J40" s="161" t="e">
        <f t="shared" si="2"/>
        <v>#DIV/0!</v>
      </c>
      <c r="K40" s="265" t="e">
        <f t="shared" si="4"/>
        <v>#DIV/0!</v>
      </c>
      <c r="L40" s="161" t="e">
        <f>SUM('&lt;서식7&gt;현금유출'!AA40:AD40)+'&lt;서식6&gt;현금유입'!K40-'&lt;서식7&gt;현금유출'!I40</f>
        <v>#DIV/0!</v>
      </c>
      <c r="M40" s="261" t="e">
        <f t="shared" si="3"/>
        <v>#DIV/0!</v>
      </c>
      <c r="N40" s="207"/>
      <c r="O40" s="517">
        <f>C40/(1+'&lt;서식5&gt;재원조달계획'!$I$22)^'&lt;서식8&gt;현금흐름분석'!B40</f>
        <v>19901130.824751388</v>
      </c>
      <c r="P40" s="517" t="e">
        <f>D40/(1+'&lt;서식5&gt;재원조달계획'!$I$22)^'&lt;서식8&gt;현금흐름분석'!B40</f>
        <v>#DIV/0!</v>
      </c>
    </row>
    <row r="41" spans="1:20" ht="29.25" customHeight="1">
      <c r="A41" s="206"/>
      <c r="B41" s="160">
        <v>35</v>
      </c>
      <c r="C41" s="161">
        <f>'&lt;서식6&gt;현금유입'!O41</f>
        <v>34666699.044101313</v>
      </c>
      <c r="D41" s="161" t="e">
        <f>'&lt;서식7&gt;현금유출'!P41</f>
        <v>#DIV/0!</v>
      </c>
      <c r="E41" s="162" t="e">
        <f t="shared" si="0"/>
        <v>#DIV/0!</v>
      </c>
      <c r="F41" s="265" t="e">
        <f t="shared" si="1"/>
        <v>#DIV/0!</v>
      </c>
      <c r="G41" s="496" t="e">
        <f>E41+'&lt;서식7&gt;현금유출'!M41+'&lt;서식7&gt;현금유출'!N41+'&lt;서식7&gt;현금유출'!K41</f>
        <v>#DIV/0!</v>
      </c>
      <c r="H41" s="161" t="e">
        <f>'&lt;서식6&gt;현금유입'!D41</f>
        <v>#DIV/0!</v>
      </c>
      <c r="I41" s="161" t="e">
        <f>'&lt;서식7&gt;현금유출'!D41</f>
        <v>#DIV/0!</v>
      </c>
      <c r="J41" s="161" t="e">
        <f t="shared" si="2"/>
        <v>#DIV/0!</v>
      </c>
      <c r="K41" s="265" t="e">
        <f t="shared" si="4"/>
        <v>#DIV/0!</v>
      </c>
      <c r="L41" s="161" t="e">
        <f>SUM('&lt;서식7&gt;현금유출'!AA41:AD41)+'&lt;서식6&gt;현금유입'!K41-'&lt;서식7&gt;현금유출'!I41</f>
        <v>#DIV/0!</v>
      </c>
      <c r="M41" s="261" t="e">
        <f t="shared" si="3"/>
        <v>#DIV/0!</v>
      </c>
      <c r="N41" s="207"/>
      <c r="O41" s="517">
        <f>C41/(1+'&lt;서식5&gt;재원조달계획'!$I$22)^'&lt;서식8&gt;현금흐름분석'!B41</f>
        <v>20587376.715260059</v>
      </c>
      <c r="P41" s="517" t="e">
        <f>D41/(1+'&lt;서식5&gt;재원조달계획'!$I$22)^'&lt;서식8&gt;현금흐름분석'!B41</f>
        <v>#DIV/0!</v>
      </c>
    </row>
    <row r="42" spans="1:20" ht="29.25" customHeight="1">
      <c r="A42" s="206"/>
      <c r="B42" s="160">
        <v>36</v>
      </c>
      <c r="C42" s="161">
        <f>'&lt;서식6&gt;현금유입'!O42</f>
        <v>34666699.044101313</v>
      </c>
      <c r="D42" s="161" t="e">
        <f>'&lt;서식7&gt;현금유출'!P42</f>
        <v>#DIV/0!</v>
      </c>
      <c r="E42" s="162" t="e">
        <f t="shared" si="0"/>
        <v>#DIV/0!</v>
      </c>
      <c r="F42" s="265" t="e">
        <f t="shared" si="1"/>
        <v>#DIV/0!</v>
      </c>
      <c r="G42" s="496" t="e">
        <f>E42+'&lt;서식7&gt;현금유출'!M42+'&lt;서식7&gt;현금유출'!N42+'&lt;서식7&gt;현금유출'!K42</f>
        <v>#DIV/0!</v>
      </c>
      <c r="H42" s="161" t="e">
        <f>'&lt;서식6&gt;현금유입'!D42</f>
        <v>#DIV/0!</v>
      </c>
      <c r="I42" s="161" t="e">
        <f>'&lt;서식7&gt;현금유출'!D42</f>
        <v>#DIV/0!</v>
      </c>
      <c r="J42" s="161" t="e">
        <f t="shared" si="2"/>
        <v>#DIV/0!</v>
      </c>
      <c r="K42" s="265" t="e">
        <f t="shared" si="4"/>
        <v>#DIV/0!</v>
      </c>
      <c r="L42" s="161" t="e">
        <f>SUM('&lt;서식7&gt;현금유출'!AA42:AD42)+'&lt;서식6&gt;현금유입'!K42-'&lt;서식7&gt;현금유출'!I42</f>
        <v>#DIV/0!</v>
      </c>
      <c r="M42" s="261" t="e">
        <f t="shared" si="3"/>
        <v>#DIV/0!</v>
      </c>
      <c r="N42" s="207"/>
      <c r="O42" s="517">
        <f>C42/(1+'&lt;서식5&gt;재원조달계획'!$I$22)^'&lt;서식8&gt;현금흐름분석'!B42</f>
        <v>20283129.768729124</v>
      </c>
      <c r="P42" s="517" t="e">
        <f>D42/(1+'&lt;서식5&gt;재원조달계획'!$I$22)^'&lt;서식8&gt;현금흐름분석'!B42</f>
        <v>#DIV/0!</v>
      </c>
    </row>
    <row r="43" spans="1:20" ht="29.25" customHeight="1">
      <c r="A43" s="206"/>
      <c r="B43" s="160">
        <v>37</v>
      </c>
      <c r="C43" s="161">
        <f>'&lt;서식6&gt;현금유입'!O43</f>
        <v>36400033.996306382</v>
      </c>
      <c r="D43" s="161" t="e">
        <f>'&lt;서식7&gt;현금유출'!P43</f>
        <v>#DIV/0!</v>
      </c>
      <c r="E43" s="162" t="e">
        <f t="shared" si="0"/>
        <v>#DIV/0!</v>
      </c>
      <c r="F43" s="265" t="e">
        <f t="shared" si="1"/>
        <v>#DIV/0!</v>
      </c>
      <c r="G43" s="496" t="e">
        <f>E43+'&lt;서식7&gt;현금유출'!M43+'&lt;서식7&gt;현금유출'!N43+'&lt;서식7&gt;현금유출'!K43</f>
        <v>#DIV/0!</v>
      </c>
      <c r="H43" s="161" t="e">
        <f>'&lt;서식6&gt;현금유입'!D43</f>
        <v>#DIV/0!</v>
      </c>
      <c r="I43" s="161" t="e">
        <f>'&lt;서식7&gt;현금유출'!D43</f>
        <v>#DIV/0!</v>
      </c>
      <c r="J43" s="161" t="e">
        <f t="shared" si="2"/>
        <v>#DIV/0!</v>
      </c>
      <c r="K43" s="265" t="e">
        <f t="shared" si="4"/>
        <v>#DIV/0!</v>
      </c>
      <c r="L43" s="161" t="e">
        <f>SUM('&lt;서식7&gt;현금유출'!AA43:AD43)+'&lt;서식6&gt;현금유입'!K43-'&lt;서식7&gt;현금유출'!I43</f>
        <v>#DIV/0!</v>
      </c>
      <c r="M43" s="261" t="e">
        <f t="shared" si="3"/>
        <v>#DIV/0!</v>
      </c>
      <c r="N43" s="207"/>
      <c r="O43" s="517">
        <f>C43/(1+'&lt;서식5&gt;재원조달계획'!$I$22)^'&lt;서식8&gt;현금흐름분석'!B43</f>
        <v>20982548.03661634</v>
      </c>
      <c r="P43" s="517" t="e">
        <f>D43/(1+'&lt;서식5&gt;재원조달계획'!$I$22)^'&lt;서식8&gt;현금흐름분석'!B43</f>
        <v>#DIV/0!</v>
      </c>
    </row>
    <row r="44" spans="1:20" ht="29.25" customHeight="1">
      <c r="A44" s="206"/>
      <c r="B44" s="160">
        <v>38</v>
      </c>
      <c r="C44" s="161">
        <f>'&lt;서식6&gt;현금유입'!O44</f>
        <v>36400033.996306382</v>
      </c>
      <c r="D44" s="161" t="e">
        <f>'&lt;서식7&gt;현금유출'!P44</f>
        <v>#DIV/0!</v>
      </c>
      <c r="E44" s="162" t="e">
        <f t="shared" si="0"/>
        <v>#DIV/0!</v>
      </c>
      <c r="F44" s="265" t="e">
        <f t="shared" si="1"/>
        <v>#DIV/0!</v>
      </c>
      <c r="G44" s="496" t="e">
        <f>E44+'&lt;서식7&gt;현금유출'!M44+'&lt;서식7&gt;현금유출'!N44+'&lt;서식7&gt;현금유출'!K44</f>
        <v>#DIV/0!</v>
      </c>
      <c r="H44" s="161" t="e">
        <f>'&lt;서식6&gt;현금유입'!D44</f>
        <v>#DIV/0!</v>
      </c>
      <c r="I44" s="161" t="e">
        <f>'&lt;서식7&gt;현금유출'!D44</f>
        <v>#DIV/0!</v>
      </c>
      <c r="J44" s="161" t="e">
        <f t="shared" si="2"/>
        <v>#DIV/0!</v>
      </c>
      <c r="K44" s="265" t="e">
        <f t="shared" si="4"/>
        <v>#DIV/0!</v>
      </c>
      <c r="L44" s="161" t="e">
        <f>SUM('&lt;서식7&gt;현금유출'!AA44:AD44)+'&lt;서식6&gt;현금유입'!K44-'&lt;서식7&gt;현금유출'!I44</f>
        <v>#DIV/0!</v>
      </c>
      <c r="M44" s="261" t="e">
        <f t="shared" si="3"/>
        <v>#DIV/0!</v>
      </c>
      <c r="N44" s="207"/>
      <c r="O44" s="517">
        <f>C44/(1+'&lt;서식5&gt;재원조달계획'!$I$22)^'&lt;서식8&gt;현금흐름분석'!B44</f>
        <v>20672461.11981906</v>
      </c>
      <c r="P44" s="517" t="e">
        <f>D44/(1+'&lt;서식5&gt;재원조달계획'!$I$22)^'&lt;서식8&gt;현금흐름분석'!B44</f>
        <v>#DIV/0!</v>
      </c>
    </row>
    <row r="45" spans="1:20" ht="29.25" customHeight="1">
      <c r="A45" s="206"/>
      <c r="B45" s="160">
        <v>39</v>
      </c>
      <c r="C45" s="161">
        <f>'&lt;서식6&gt;현금유입'!O45</f>
        <v>38220035.6961217</v>
      </c>
      <c r="D45" s="161" t="e">
        <f>'&lt;서식7&gt;현금유출'!P45</f>
        <v>#DIV/0!</v>
      </c>
      <c r="E45" s="162" t="e">
        <f t="shared" si="0"/>
        <v>#DIV/0!</v>
      </c>
      <c r="F45" s="265" t="e">
        <f t="shared" si="1"/>
        <v>#DIV/0!</v>
      </c>
      <c r="G45" s="496" t="e">
        <f>E45+'&lt;서식7&gt;현금유출'!M45+'&lt;서식7&gt;현금유출'!N45+'&lt;서식7&gt;현금유출'!K45</f>
        <v>#DIV/0!</v>
      </c>
      <c r="H45" s="161" t="e">
        <f>'&lt;서식6&gt;현금유입'!D45</f>
        <v>#DIV/0!</v>
      </c>
      <c r="I45" s="161" t="e">
        <f>'&lt;서식7&gt;현금유출'!D45</f>
        <v>#DIV/0!</v>
      </c>
      <c r="J45" s="161" t="e">
        <f t="shared" si="2"/>
        <v>#DIV/0!</v>
      </c>
      <c r="K45" s="265" t="e">
        <f t="shared" si="4"/>
        <v>#DIV/0!</v>
      </c>
      <c r="L45" s="161" t="e">
        <f>SUM('&lt;서식7&gt;현금유출'!AA45:AD45)+'&lt;서식6&gt;현금유입'!K45-'&lt;서식7&gt;현금유출'!I45</f>
        <v>#DIV/0!</v>
      </c>
      <c r="M45" s="261" t="e">
        <f t="shared" si="3"/>
        <v>#DIV/0!</v>
      </c>
      <c r="N45" s="207"/>
      <c r="O45" s="517">
        <f>C45/(1+'&lt;서식5&gt;재원조달계획'!$I$22)^'&lt;서식8&gt;현금흐름분석'!B45</f>
        <v>21385304.606709376</v>
      </c>
      <c r="P45" s="517" t="e">
        <f>D45/(1+'&lt;서식5&gt;재원조달계획'!$I$22)^'&lt;서식8&gt;현금흐름분석'!B45</f>
        <v>#DIV/0!</v>
      </c>
    </row>
    <row r="46" spans="1:20" ht="29.25" customHeight="1">
      <c r="A46" s="206"/>
      <c r="B46" s="249">
        <v>40</v>
      </c>
      <c r="C46" s="250">
        <f>'&lt;서식6&gt;현금유입'!O46</f>
        <v>38220035.6961217</v>
      </c>
      <c r="D46" s="250" t="e">
        <f>'&lt;서식7&gt;현금유출'!P46</f>
        <v>#DIV/0!</v>
      </c>
      <c r="E46" s="251" t="e">
        <f>C46-D46</f>
        <v>#DIV/0!</v>
      </c>
      <c r="F46" s="266" t="e">
        <f t="shared" si="1"/>
        <v>#DIV/0!</v>
      </c>
      <c r="G46" s="496" t="e">
        <f>E46+'&lt;서식7&gt;현금유출'!M46+'&lt;서식7&gt;현금유출'!N46+'&lt;서식7&gt;현금유출'!K46</f>
        <v>#DIV/0!</v>
      </c>
      <c r="H46" s="250">
        <f>'&lt;서식6&gt;현금유입'!D46</f>
        <v>38220035.6961217</v>
      </c>
      <c r="I46" s="250" t="e">
        <f>'&lt;서식7&gt;현금유출'!D46</f>
        <v>#DIV/0!</v>
      </c>
      <c r="J46" s="250" t="e">
        <f t="shared" si="2"/>
        <v>#DIV/0!</v>
      </c>
      <c r="K46" s="266" t="e">
        <f t="shared" si="4"/>
        <v>#DIV/0!</v>
      </c>
      <c r="L46" s="251" t="e">
        <f>SUM('&lt;서식7&gt;현금유출'!AA46:AD46)+'&lt;서식6&gt;현금유입'!K46-'&lt;서식7&gt;현금유출'!I46</f>
        <v>#DIV/0!</v>
      </c>
      <c r="M46" s="262"/>
      <c r="N46" s="207"/>
      <c r="O46" s="517">
        <f>C46/(1+'&lt;서식5&gt;재원조달계획'!$I$22)^'&lt;서식8&gt;현금흐름분석'!B46</f>
        <v>21069265.622373771</v>
      </c>
      <c r="P46" s="517" t="e">
        <f>D46/(1+'&lt;서식5&gt;재원조달계획'!$I$22)^'&lt;서식8&gt;현금흐름분석'!B46</f>
        <v>#DIV/0!</v>
      </c>
    </row>
    <row r="47" spans="1:20" ht="29.25" customHeight="1" thickBot="1">
      <c r="A47" s="206"/>
      <c r="B47" s="259" t="s">
        <v>58</v>
      </c>
      <c r="C47" s="252">
        <f>SUM(C6:C46)</f>
        <v>1012977603.5939363</v>
      </c>
      <c r="D47" s="252" t="e">
        <f>SUM(D6:D46)</f>
        <v>#DIV/0!</v>
      </c>
      <c r="E47" s="252" t="e">
        <f>SUM(E6:E46)</f>
        <v>#DIV/0!</v>
      </c>
      <c r="F47" s="252"/>
      <c r="G47" s="252"/>
      <c r="H47" s="252" t="e">
        <f>SUM(H6:H46)</f>
        <v>#DIV/0!</v>
      </c>
      <c r="I47" s="252" t="e">
        <f>SUM(I6:I46)</f>
        <v>#DIV/0!</v>
      </c>
      <c r="J47" s="252" t="e">
        <f>SUM(J6:J46)</f>
        <v>#DIV/0!</v>
      </c>
      <c r="K47" s="258"/>
      <c r="L47" s="252"/>
      <c r="M47" s="263"/>
      <c r="N47" s="207"/>
      <c r="O47" s="518">
        <f>SUM(O6:O46)</f>
        <v>724608777.17179847</v>
      </c>
      <c r="P47" s="518" t="e">
        <f>SUM(P6:P46)</f>
        <v>#DIV/0!</v>
      </c>
    </row>
    <row r="48" spans="1:20" s="205" customFormat="1" ht="19.2" customHeight="1" thickBot="1">
      <c r="A48" s="269"/>
      <c r="B48" s="75"/>
      <c r="C48" s="75"/>
      <c r="D48" s="539"/>
      <c r="E48" s="539"/>
      <c r="F48" s="75"/>
      <c r="G48" s="69"/>
      <c r="H48" s="69"/>
      <c r="I48" s="69"/>
      <c r="J48" s="69"/>
      <c r="K48" s="270"/>
      <c r="L48" s="270"/>
      <c r="M48" s="270"/>
      <c r="N48" s="212"/>
      <c r="O48" s="204"/>
      <c r="P48" s="204"/>
      <c r="Q48" s="204" t="s">
        <v>274</v>
      </c>
      <c r="R48" s="204"/>
      <c r="S48" s="204"/>
      <c r="T48" s="204"/>
    </row>
    <row r="49" spans="1:20" s="205" customFormat="1" ht="24.6" customHeight="1" thickBot="1">
      <c r="A49" s="269"/>
      <c r="B49" s="267"/>
      <c r="C49" s="520" t="s">
        <v>182</v>
      </c>
      <c r="D49" s="523" t="e">
        <f>NPV('&lt;서식5&gt;재원조달계획'!$I$22,E7:E46)+E6</f>
        <v>#DIV/0!</v>
      </c>
      <c r="E49" s="520" t="s">
        <v>279</v>
      </c>
      <c r="F49" s="525" t="e">
        <f>C47/D47</f>
        <v>#DIV/0!</v>
      </c>
      <c r="G49" s="522" t="s">
        <v>180</v>
      </c>
      <c r="H49" s="524" t="e">
        <f>F50/40</f>
        <v>#DIV/0!</v>
      </c>
      <c r="I49" s="522" t="s">
        <v>281</v>
      </c>
      <c r="J49" s="524" t="e">
        <f>D49/'&lt;서식6&gt;현금유입'!I6/40</f>
        <v>#DIV/0!</v>
      </c>
      <c r="K49" s="269"/>
      <c r="L49" s="385"/>
      <c r="M49" s="385"/>
      <c r="N49" s="386"/>
      <c r="O49" s="204"/>
      <c r="P49" s="204"/>
      <c r="Q49" s="204"/>
      <c r="R49" s="204"/>
      <c r="S49" s="204"/>
      <c r="T49" s="204"/>
    </row>
    <row r="50" spans="1:20" s="205" customFormat="1" ht="24.6" customHeight="1" thickBot="1">
      <c r="A50" s="269"/>
      <c r="B50" s="267"/>
      <c r="C50" s="520" t="s">
        <v>179</v>
      </c>
      <c r="D50" s="524" t="e">
        <f>IRR(E6:E46,'&lt;서식5&gt;재원조달계획'!$I$22)</f>
        <v>#VALUE!</v>
      </c>
      <c r="E50" s="520" t="s">
        <v>280</v>
      </c>
      <c r="F50" s="526" t="e">
        <f>(NPV('&lt;서식5&gt;재원조달계획'!$I$22,C7:C46)+C6)/(NPV('&lt;서식5&gt;재원조달계획'!$I$22,D7:D46)+D6)</f>
        <v>#DIV/0!</v>
      </c>
      <c r="G50" s="522" t="s">
        <v>181</v>
      </c>
      <c r="H50" s="527">
        <f>SUM(COUNTIF(F7:F46,"&lt;=0")+1)</f>
        <v>1</v>
      </c>
      <c r="I50" s="521"/>
      <c r="J50" s="521"/>
      <c r="K50" s="269"/>
      <c r="L50" s="949"/>
      <c r="M50" s="270"/>
      <c r="N50" s="212"/>
      <c r="O50" s="519"/>
      <c r="P50" s="204"/>
      <c r="Q50" s="204"/>
      <c r="R50" s="204"/>
      <c r="S50" s="204"/>
      <c r="T50" s="204"/>
    </row>
    <row r="51" spans="1:20" s="205" customFormat="1" ht="24" thickBot="1">
      <c r="A51" s="271"/>
      <c r="B51" s="155"/>
      <c r="C51" s="155"/>
      <c r="D51" s="155"/>
      <c r="E51" s="528" t="e">
        <f>D49/40</f>
        <v>#DIV/0!</v>
      </c>
      <c r="F51" s="155"/>
      <c r="G51" s="77"/>
      <c r="H51" s="272"/>
      <c r="I51" s="272"/>
      <c r="J51" s="272"/>
      <c r="K51" s="272"/>
      <c r="L51" s="272"/>
      <c r="M51" s="272"/>
      <c r="N51" s="387"/>
      <c r="O51" s="204"/>
      <c r="P51" s="204"/>
      <c r="Q51" s="204"/>
      <c r="R51" s="204"/>
      <c r="S51" s="204"/>
      <c r="T51" s="204"/>
    </row>
    <row r="52" spans="1:20" ht="25.8">
      <c r="A52" s="214"/>
      <c r="B52" s="193"/>
      <c r="C52" s="193"/>
      <c r="D52" s="193"/>
      <c r="E52" s="193"/>
      <c r="F52" s="193"/>
      <c r="G52" s="870"/>
      <c r="H52" s="76"/>
      <c r="I52" s="861"/>
      <c r="J52" s="76"/>
      <c r="K52" s="213"/>
      <c r="L52" s="213"/>
      <c r="M52" s="213"/>
      <c r="N52" s="213"/>
    </row>
    <row r="53" spans="1:20" ht="17.399999999999999">
      <c r="G53" s="268"/>
      <c r="K53" s="213"/>
      <c r="L53" s="213"/>
      <c r="M53" s="213"/>
      <c r="N53" s="213"/>
    </row>
    <row r="55" spans="1:20" s="215" customFormat="1">
      <c r="O55" s="204"/>
      <c r="P55" s="204"/>
      <c r="Q55" s="204"/>
      <c r="R55" s="204"/>
      <c r="S55" s="204"/>
      <c r="T55" s="204"/>
    </row>
  </sheetData>
  <mergeCells count="5">
    <mergeCell ref="M4:M5"/>
    <mergeCell ref="B4:B5"/>
    <mergeCell ref="L4:L5"/>
    <mergeCell ref="C4:G4"/>
    <mergeCell ref="H4:K4"/>
  </mergeCells>
  <phoneticPr fontId="8" type="noConversion"/>
  <printOptions horizontalCentered="1"/>
  <pageMargins left="0.23622047244094491" right="0.23622047244094491" top="0.74803149606299213" bottom="0.39370078740157483" header="0.31496062992125984" footer="0.31496062992125984"/>
  <pageSetup paperSize="9" scale="4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F22" sqref="F22"/>
    </sheetView>
  </sheetViews>
  <sheetFormatPr defaultColWidth="8.796875" defaultRowHeight="13.2"/>
  <cols>
    <col min="1" max="16384" width="8.796875" style="13"/>
  </cols>
  <sheetData>
    <row r="2" spans="2:2" ht="18" customHeight="1">
      <c r="B2" s="12" t="s">
        <v>60</v>
      </c>
    </row>
    <row r="3" spans="2:2" ht="18" customHeight="1">
      <c r="B3" s="14" t="s">
        <v>61</v>
      </c>
    </row>
    <row r="5" spans="2:2">
      <c r="B5" s="15" t="s">
        <v>62</v>
      </c>
    </row>
    <row r="6" spans="2:2">
      <c r="B6" s="15" t="s">
        <v>63</v>
      </c>
    </row>
    <row r="7" spans="2:2">
      <c r="B7" s="15" t="s">
        <v>64</v>
      </c>
    </row>
    <row r="8" spans="2:2">
      <c r="B8" s="15" t="s">
        <v>65</v>
      </c>
    </row>
    <row r="9" spans="2:2">
      <c r="B9" s="15" t="s">
        <v>66</v>
      </c>
    </row>
    <row r="10" spans="2:2">
      <c r="B10" s="15" t="s">
        <v>67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8</vt:i4>
      </vt:variant>
    </vt:vector>
  </HeadingPairs>
  <TitlesOfParts>
    <vt:vector size="17" baseType="lpstr">
      <vt:lpstr>&lt;서식1&gt;사업개요</vt:lpstr>
      <vt:lpstr>&lt;서식2&gt;면적표</vt:lpstr>
      <vt:lpstr>&lt;서식3&gt;초기사업비 산정</vt:lpstr>
      <vt:lpstr>&lt;서식4&gt;임대료 산출</vt:lpstr>
      <vt:lpstr>&lt;서식5&gt;재원조달계획</vt:lpstr>
      <vt:lpstr>&lt;서식6&gt;현금유입</vt:lpstr>
      <vt:lpstr>&lt;서식7&gt;현금유출</vt:lpstr>
      <vt:lpstr>&lt;서식8&gt;현금흐름분석</vt:lpstr>
      <vt:lpstr>지가변동률, 세금 등 산출근거</vt:lpstr>
      <vt:lpstr>'&lt;서식1&gt;사업개요'!Print_Area</vt:lpstr>
      <vt:lpstr>'&lt;서식2&gt;면적표'!Print_Area</vt:lpstr>
      <vt:lpstr>'&lt;서식3&gt;초기사업비 산정'!Print_Area</vt:lpstr>
      <vt:lpstr>'&lt;서식4&gt;임대료 산출'!Print_Area</vt:lpstr>
      <vt:lpstr>'&lt;서식5&gt;재원조달계획'!Print_Area</vt:lpstr>
      <vt:lpstr>'&lt;서식6&gt;현금유입'!Print_Area</vt:lpstr>
      <vt:lpstr>'&lt;서식7&gt;현금유출'!Print_Area</vt:lpstr>
      <vt:lpstr>'&lt;서식8&gt;현금흐름분석'!Print_Area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</dc:creator>
  <cp:lastModifiedBy>Windows User</cp:lastModifiedBy>
  <cp:lastPrinted>2018-05-23T12:37:28Z</cp:lastPrinted>
  <dcterms:created xsi:type="dcterms:W3CDTF">2016-07-21T06:36:27Z</dcterms:created>
  <dcterms:modified xsi:type="dcterms:W3CDTF">2018-10-18T02:39:29Z</dcterms:modified>
</cp:coreProperties>
</file>